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hisWorkbook" hidePivotFieldList="1" defaultThemeVersion="124226"/>
  <mc:AlternateContent xmlns:mc="http://schemas.openxmlformats.org/markup-compatibility/2006">
    <mc:Choice Requires="x15">
      <x15ac:absPath xmlns:x15ac="http://schemas.microsoft.com/office/spreadsheetml/2010/11/ac" url="P:\S Drive Files\Safety Net\2022-23\Bulletins and Forms\Ready to Post\"/>
    </mc:Choice>
  </mc:AlternateContent>
  <xr:revisionPtr revIDLastSave="0" documentId="13_ncr:1_{E9956BE9-9498-45F5-BD91-297506011CA7}" xr6:coauthVersionLast="47" xr6:coauthVersionMax="47" xr10:uidLastSave="{00000000-0000-0000-0000-000000000000}"/>
  <bookViews>
    <workbookView xWindow="-120" yWindow="-120" windowWidth="29040" windowHeight="17640" tabRatio="736" firstSheet="1" activeTab="2" xr2:uid="{0B1CF05F-81C4-4993-80FE-738745225DFA}"/>
  </bookViews>
  <sheets>
    <sheet name="Copyright" sheetId="59" r:id="rId1"/>
    <sheet name="LEA List" sheetId="2" r:id="rId2"/>
    <sheet name="2022-23 Worksheet A" sheetId="1" r:id="rId3"/>
    <sheet name="2022-23 Budget Reconciliation" sheetId="101" r:id="rId4"/>
    <sheet name="Indirects" sheetId="5" state="hidden" r:id="rId5"/>
    <sheet name="21-22 Safety Net Awards" sheetId="133" state="hidden" r:id="rId6"/>
    <sheet name="21-22 F-196 Expenditures" sheetId="118" state="hidden" r:id="rId7"/>
    <sheet name="21-22 F-196 Revenues" sheetId="119" state="hidden" r:id="rId8"/>
    <sheet name="22-23 F195 ExpendPivot" sheetId="127" state="hidden" r:id="rId9"/>
    <sheet name="22-23 F195 ExpendDetail" sheetId="124" state="hidden" r:id="rId10"/>
    <sheet name="22-23 F195 Expenditures" sheetId="128" state="hidden" r:id="rId11"/>
    <sheet name="22-23 F195 Revenues" sheetId="130" state="hidden" r:id="rId12"/>
    <sheet name="21-22 FP 149 Allocations" sheetId="123" state="hidden" r:id="rId13"/>
    <sheet name="21-22 CCEIS Set Aside" sheetId="121" state="hidden" r:id="rId14"/>
    <sheet name="22-23 CCEIS Set Aside" sheetId="134" state="hidden" r:id="rId15"/>
    <sheet name="22-23 Supplemental Contracts" sheetId="107" state="hidden" r:id="rId16"/>
    <sheet name="22-23 Enrollment" sheetId="103" state="hidden" r:id="rId17"/>
    <sheet name="22-23 Allocations" sheetId="105" state="hidden" r:id="rId18"/>
    <sheet name="267 - 21-22 carryover to 22-23" sheetId="131" state="hidden" r:id="rId19"/>
    <sheet name="149 - 21-22 carryover to 22-23" sheetId="132" state="hidden" r:id="rId20"/>
    <sheet name="21-22 Supplemental Contracts" sheetId="117" state="hidden" r:id="rId21"/>
    <sheet name="21-22 Enrollement" sheetId="114" state="hidden" r:id="rId22"/>
    <sheet name="21-22 Allocations" sheetId="115" state="hidden" r:id="rId23"/>
    <sheet name="2020-21 Carryover for 2021-22" sheetId="116" state="hidden" r:id="rId24"/>
  </sheets>
  <externalReferences>
    <externalReference r:id="rId25"/>
  </externalReferences>
  <definedNames>
    <definedName name="_xlnm._FilterDatabase" localSheetId="3" hidden="1">'2022-23 Budget Reconciliation'!$A$5:$AM$5</definedName>
    <definedName name="_xlnm._FilterDatabase" localSheetId="7" hidden="1">'21-22 F-196 Revenues'!$B$2:$N$304</definedName>
    <definedName name="_xlnm._FilterDatabase" localSheetId="9" hidden="1">'22-23 F195 ExpendDetail'!$A:$E</definedName>
    <definedName name="_xlnm._FilterDatabase" localSheetId="15" hidden="1">'22-23 Supplemental Contracts'!$A$1:$F$319</definedName>
    <definedName name="_xlnm._FilterDatabase" localSheetId="4" hidden="1">Indirects!$A$6:$D$326</definedName>
    <definedName name="_xlnm._FilterDatabase" localSheetId="1" hidden="1">'LEA List'!$A$2:$C$318</definedName>
    <definedName name="ENROLL">'[1]Enrollment In'!$L$7:$Q$320</definedName>
    <definedName name="_xlnm.Print_Area" localSheetId="2">'2022-23 Worksheet A'!$A$1:$E$61</definedName>
    <definedName name="Z_258DC0F9_B8C5_4A47_B911_FC6C1B128653_.wvu.Cols" localSheetId="2" hidden="1">'2022-23 Worksheet A'!$F:$F</definedName>
    <definedName name="Z_258DC0F9_B8C5_4A47_B911_FC6C1B128653_.wvu.FilterData" localSheetId="4" hidden="1">Indirects!#REF!</definedName>
    <definedName name="Z_258DC0F9_B8C5_4A47_B911_FC6C1B128653_.wvu.PrintArea" localSheetId="2" hidden="1">'2022-23 Worksheet A'!$A$1:$F$61</definedName>
    <definedName name="Z_3391497B_85F4_4817_B669_10F463F3A207_.wvu.Cols" localSheetId="2" hidden="1">'2022-23 Worksheet A'!$F:$F</definedName>
    <definedName name="Z_3391497B_85F4_4817_B669_10F463F3A207_.wvu.FilterData" localSheetId="4" hidden="1">Indirects!#REF!</definedName>
    <definedName name="Z_3391497B_85F4_4817_B669_10F463F3A207_.wvu.PrintArea" localSheetId="2" hidden="1">'2022-23 Worksheet A'!$A$1:$F$61</definedName>
    <definedName name="Z_6D4FF6D6_C66D_4B43_9B4E_7985B86B1BBC_.wvu.Cols" localSheetId="2" hidden="1">'2022-23 Worksheet A'!$F:$F</definedName>
    <definedName name="Z_6D4FF6D6_C66D_4B43_9B4E_7985B86B1BBC_.wvu.FilterData" localSheetId="4" hidden="1">Indirects!#REF!</definedName>
    <definedName name="Z_6D4FF6D6_C66D_4B43_9B4E_7985B86B1BBC_.wvu.PrintArea" localSheetId="2" hidden="1">'2022-23 Worksheet A'!$A$1:$F$61</definedName>
  </definedNames>
  <calcPr calcId="191029"/>
  <customWorkbookViews>
    <customWorkbookView name="Amber O’Donnell - Personal View" guid="{3391497B-85F4-4817-B669-10F463F3A207}" mergeInterval="0" personalView="1" maximized="1" windowWidth="1920" windowHeight="955" tabRatio="958" activeSheetId="12"/>
    <customWorkbookView name="Jolene Stanislowski - Personal View" guid="{6D4FF6D6-C66D-4B43-9B4E-7985B86B1BBC}" mergeInterval="0" personalView="1" maximized="1" windowWidth="1218" windowHeight="758" tabRatio="958" activeSheetId="1"/>
    <customWorkbookView name="Mary Ellen Parrish - Personal View" guid="{258DC0F9-B8C5-4A47-B911-FC6C1B128653}" mergeInterval="0" personalView="1" maximized="1" windowWidth="1920" windowHeight="855" tabRatio="958" activeSheetId="12"/>
  </customWorkbookViews>
  <pivotCaches>
    <pivotCache cacheId="0" r:id="rId2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 l="1"/>
  <c r="E15" i="1"/>
  <c r="D15" i="1"/>
  <c r="D21" i="1"/>
  <c r="D41" i="1"/>
  <c r="E40" i="1"/>
  <c r="E13" i="1"/>
  <c r="D13" i="1"/>
  <c r="E37" i="1" l="1"/>
  <c r="E5" i="132"/>
  <c r="E6" i="132"/>
  <c r="E7" i="132"/>
  <c r="E8" i="132"/>
  <c r="E9" i="132"/>
  <c r="E10" i="132"/>
  <c r="E11" i="132"/>
  <c r="E12" i="132"/>
  <c r="E13" i="132"/>
  <c r="E14" i="132"/>
  <c r="E15" i="132"/>
  <c r="E16" i="132"/>
  <c r="E17" i="132"/>
  <c r="E18" i="132"/>
  <c r="E19" i="132"/>
  <c r="E20" i="132"/>
  <c r="E21" i="132"/>
  <c r="E22" i="132"/>
  <c r="E23" i="132"/>
  <c r="E24" i="132"/>
  <c r="E25" i="132"/>
  <c r="E26" i="132"/>
  <c r="E27" i="132"/>
  <c r="E28" i="132"/>
  <c r="E29" i="132"/>
  <c r="E30" i="132"/>
  <c r="E31" i="132"/>
  <c r="E32" i="132"/>
  <c r="E33" i="132"/>
  <c r="E34" i="132"/>
  <c r="E35" i="132"/>
  <c r="E36" i="132"/>
  <c r="E37" i="132"/>
  <c r="E38" i="132"/>
  <c r="E39" i="132"/>
  <c r="E40" i="132"/>
  <c r="E41" i="132"/>
  <c r="E42" i="132"/>
  <c r="E43" i="132"/>
  <c r="E44" i="132"/>
  <c r="E45" i="132"/>
  <c r="E46" i="132"/>
  <c r="E47" i="132"/>
  <c r="E48" i="132"/>
  <c r="E49" i="132"/>
  <c r="E50" i="132"/>
  <c r="E51" i="132"/>
  <c r="E52" i="132"/>
  <c r="E53" i="132"/>
  <c r="E54" i="132"/>
  <c r="E55" i="132"/>
  <c r="E56" i="132"/>
  <c r="E57" i="132"/>
  <c r="E58" i="132"/>
  <c r="E59" i="132"/>
  <c r="E60" i="132"/>
  <c r="E61" i="132"/>
  <c r="E62" i="132"/>
  <c r="E63" i="132"/>
  <c r="E64" i="132"/>
  <c r="E65" i="132"/>
  <c r="E66" i="132"/>
  <c r="E67" i="132"/>
  <c r="E68" i="132"/>
  <c r="E69" i="132"/>
  <c r="E70" i="132"/>
  <c r="E71" i="132"/>
  <c r="E72" i="132"/>
  <c r="E73" i="132"/>
  <c r="E74" i="132"/>
  <c r="E75" i="132"/>
  <c r="E76" i="132"/>
  <c r="E77" i="132"/>
  <c r="E78" i="132"/>
  <c r="E79" i="132"/>
  <c r="E80" i="132"/>
  <c r="E81" i="132"/>
  <c r="E82" i="132"/>
  <c r="E83" i="132"/>
  <c r="E84" i="132"/>
  <c r="E85" i="132"/>
  <c r="E86" i="132"/>
  <c r="E87" i="132"/>
  <c r="E88" i="132"/>
  <c r="E89" i="132"/>
  <c r="E90" i="132"/>
  <c r="E91" i="132"/>
  <c r="E92" i="132"/>
  <c r="E93" i="132"/>
  <c r="E94" i="132"/>
  <c r="E95" i="132"/>
  <c r="E96" i="132"/>
  <c r="E97" i="132"/>
  <c r="E98" i="132"/>
  <c r="E99" i="132"/>
  <c r="E100" i="132"/>
  <c r="E101" i="132"/>
  <c r="E102" i="132"/>
  <c r="E103" i="132"/>
  <c r="E104" i="132"/>
  <c r="E105" i="132"/>
  <c r="E106" i="132"/>
  <c r="E107" i="132"/>
  <c r="E108" i="132"/>
  <c r="E109" i="132"/>
  <c r="E110" i="132"/>
  <c r="E111" i="132"/>
  <c r="E112" i="132"/>
  <c r="E113" i="132"/>
  <c r="E114" i="132"/>
  <c r="E115" i="132"/>
  <c r="E116" i="132"/>
  <c r="E117" i="132"/>
  <c r="E118" i="132"/>
  <c r="E119" i="132"/>
  <c r="E120" i="132"/>
  <c r="E121" i="132"/>
  <c r="E122" i="132"/>
  <c r="E123" i="132"/>
  <c r="E124" i="132"/>
  <c r="E125" i="132"/>
  <c r="E126" i="132"/>
  <c r="E127" i="132"/>
  <c r="E128" i="132"/>
  <c r="E129" i="132"/>
  <c r="E130" i="132"/>
  <c r="E131" i="132"/>
  <c r="E132" i="132"/>
  <c r="E133" i="132"/>
  <c r="E134" i="132"/>
  <c r="E135" i="132"/>
  <c r="E136" i="132"/>
  <c r="E137" i="132"/>
  <c r="E138" i="132"/>
  <c r="E139" i="132"/>
  <c r="E140" i="132"/>
  <c r="E141" i="132"/>
  <c r="E142" i="132"/>
  <c r="E143" i="132"/>
  <c r="E144" i="132"/>
  <c r="E145" i="132"/>
  <c r="E146" i="132"/>
  <c r="E147" i="132"/>
  <c r="E148" i="132"/>
  <c r="E149" i="132"/>
  <c r="E150" i="132"/>
  <c r="E151" i="132"/>
  <c r="E152" i="132"/>
  <c r="E153" i="132"/>
  <c r="E154" i="132"/>
  <c r="E155" i="132"/>
  <c r="E156" i="132"/>
  <c r="E157" i="132"/>
  <c r="E158" i="132"/>
  <c r="E159" i="132"/>
  <c r="E160" i="132"/>
  <c r="E161" i="132"/>
  <c r="E162" i="132"/>
  <c r="E163" i="132"/>
  <c r="E164" i="132"/>
  <c r="E165" i="132"/>
  <c r="E166" i="132"/>
  <c r="E167" i="132"/>
  <c r="E168" i="132"/>
  <c r="E169" i="132"/>
  <c r="E170" i="132"/>
  <c r="E171" i="132"/>
  <c r="E172" i="132"/>
  <c r="E173" i="132"/>
  <c r="E174" i="132"/>
  <c r="E175" i="132"/>
  <c r="E176" i="132"/>
  <c r="E177" i="132"/>
  <c r="E178" i="132"/>
  <c r="E179" i="132"/>
  <c r="E180" i="132"/>
  <c r="E181" i="132"/>
  <c r="E182" i="132"/>
  <c r="E183" i="132"/>
  <c r="E184" i="132"/>
  <c r="E185" i="132"/>
  <c r="E186" i="132"/>
  <c r="E187" i="132"/>
  <c r="E188" i="132"/>
  <c r="E189" i="132"/>
  <c r="E190" i="132"/>
  <c r="E191" i="132"/>
  <c r="E192" i="132"/>
  <c r="E193" i="132"/>
  <c r="E194" i="132"/>
  <c r="E195" i="132"/>
  <c r="E196" i="132"/>
  <c r="E197" i="132"/>
  <c r="E198" i="132"/>
  <c r="E199" i="132"/>
  <c r="E200" i="132"/>
  <c r="E201" i="132"/>
  <c r="E202" i="132"/>
  <c r="E203" i="132"/>
  <c r="E204" i="132"/>
  <c r="E205" i="132"/>
  <c r="E206" i="132"/>
  <c r="E207" i="132"/>
  <c r="E208" i="132"/>
  <c r="E209" i="132"/>
  <c r="E210" i="132"/>
  <c r="E211" i="132"/>
  <c r="E212" i="132"/>
  <c r="E213" i="132"/>
  <c r="E214" i="132"/>
  <c r="E215" i="132"/>
  <c r="E216" i="132"/>
  <c r="E217" i="132"/>
  <c r="E218" i="132"/>
  <c r="E219" i="132"/>
  <c r="E220" i="132"/>
  <c r="E221" i="132"/>
  <c r="E222" i="132"/>
  <c r="E223" i="132"/>
  <c r="E224" i="132"/>
  <c r="E225" i="132"/>
  <c r="E226" i="132"/>
  <c r="E227" i="132"/>
  <c r="E228" i="132"/>
  <c r="E229" i="132"/>
  <c r="E230" i="132"/>
  <c r="E231" i="132"/>
  <c r="E232" i="132"/>
  <c r="E233" i="132"/>
  <c r="E234" i="132"/>
  <c r="E235" i="132"/>
  <c r="E236" i="132"/>
  <c r="E237" i="132"/>
  <c r="E238" i="132"/>
  <c r="E239" i="132"/>
  <c r="E240" i="132"/>
  <c r="E241" i="132"/>
  <c r="E242" i="132"/>
  <c r="E243" i="132"/>
  <c r="E244" i="132"/>
  <c r="E245" i="132"/>
  <c r="E246" i="132"/>
  <c r="E247" i="132"/>
  <c r="E248" i="132"/>
  <c r="E249" i="132"/>
  <c r="E250" i="132"/>
  <c r="E251" i="132"/>
  <c r="E252" i="132"/>
  <c r="E253" i="132"/>
  <c r="E254" i="132"/>
  <c r="E255" i="132"/>
  <c r="E256" i="132"/>
  <c r="E257" i="132"/>
  <c r="E258" i="132"/>
  <c r="E259" i="132"/>
  <c r="E260" i="132"/>
  <c r="E261" i="132"/>
  <c r="E262" i="132"/>
  <c r="E263" i="132"/>
  <c r="E264" i="132"/>
  <c r="E265" i="132"/>
  <c r="E266" i="132"/>
  <c r="E267" i="132"/>
  <c r="E268" i="132"/>
  <c r="E269" i="132"/>
  <c r="E270" i="132"/>
  <c r="E271" i="132"/>
  <c r="E272" i="132"/>
  <c r="E273" i="132"/>
  <c r="E274" i="132"/>
  <c r="E275" i="132"/>
  <c r="E276" i="132"/>
  <c r="E277" i="132"/>
  <c r="E278" i="132"/>
  <c r="E279" i="132"/>
  <c r="E280" i="132"/>
  <c r="E281" i="132"/>
  <c r="E282" i="132"/>
  <c r="E283" i="132"/>
  <c r="E284" i="132"/>
  <c r="E285" i="132"/>
  <c r="E286" i="132"/>
  <c r="E287" i="132"/>
  <c r="E4" i="132"/>
  <c r="D288" i="132"/>
  <c r="C288" i="132"/>
  <c r="E6" i="131" l="1"/>
  <c r="E7" i="131"/>
  <c r="E8" i="131"/>
  <c r="E9" i="131"/>
  <c r="E10" i="131"/>
  <c r="E11" i="131"/>
  <c r="E12" i="131"/>
  <c r="E13" i="131"/>
  <c r="E14" i="131"/>
  <c r="E15" i="131"/>
  <c r="E16" i="131"/>
  <c r="E17" i="131"/>
  <c r="E18" i="131"/>
  <c r="E19" i="131"/>
  <c r="E20" i="131"/>
  <c r="E21" i="131"/>
  <c r="E22" i="131"/>
  <c r="E23" i="131"/>
  <c r="E24" i="131"/>
  <c r="E25" i="131"/>
  <c r="E26" i="131"/>
  <c r="E27" i="131"/>
  <c r="E28" i="131"/>
  <c r="E29" i="131"/>
  <c r="E30" i="131"/>
  <c r="E31" i="131"/>
  <c r="E32" i="131"/>
  <c r="E33" i="131"/>
  <c r="E34" i="131"/>
  <c r="E35" i="131"/>
  <c r="E36" i="131"/>
  <c r="E37" i="131"/>
  <c r="E38" i="131"/>
  <c r="E39" i="131"/>
  <c r="E40" i="131"/>
  <c r="E41" i="131"/>
  <c r="E42" i="131"/>
  <c r="E43" i="131"/>
  <c r="E44" i="131"/>
  <c r="E45" i="131"/>
  <c r="E46" i="131"/>
  <c r="E47" i="131"/>
  <c r="E48" i="131"/>
  <c r="E49" i="131"/>
  <c r="E50" i="131"/>
  <c r="E51" i="131"/>
  <c r="E52" i="131"/>
  <c r="E53" i="131"/>
  <c r="E54" i="131"/>
  <c r="E55" i="131"/>
  <c r="E56" i="131"/>
  <c r="E57" i="131"/>
  <c r="E58" i="131"/>
  <c r="E59" i="131"/>
  <c r="E60" i="131"/>
  <c r="E61" i="131"/>
  <c r="E62" i="131"/>
  <c r="E63" i="131"/>
  <c r="E64" i="131"/>
  <c r="E65" i="131"/>
  <c r="E66" i="131"/>
  <c r="E67" i="131"/>
  <c r="E68" i="131"/>
  <c r="E69" i="131"/>
  <c r="E70" i="131"/>
  <c r="E71" i="131"/>
  <c r="E72" i="131"/>
  <c r="E73" i="131"/>
  <c r="E74" i="131"/>
  <c r="E75" i="131"/>
  <c r="E76" i="131"/>
  <c r="E77" i="131"/>
  <c r="E78" i="131"/>
  <c r="E79" i="131"/>
  <c r="E80" i="131"/>
  <c r="E81" i="131"/>
  <c r="E82" i="131"/>
  <c r="E83" i="131"/>
  <c r="E84" i="131"/>
  <c r="E85" i="131"/>
  <c r="E86" i="131"/>
  <c r="E87" i="131"/>
  <c r="E88" i="131"/>
  <c r="E89" i="131"/>
  <c r="E90" i="131"/>
  <c r="E91" i="131"/>
  <c r="E92" i="131"/>
  <c r="E93" i="131"/>
  <c r="E94" i="131"/>
  <c r="E95" i="131"/>
  <c r="E96" i="131"/>
  <c r="E97" i="131"/>
  <c r="E98" i="131"/>
  <c r="E99" i="131"/>
  <c r="E100" i="131"/>
  <c r="E101" i="131"/>
  <c r="E102" i="131"/>
  <c r="E103" i="131"/>
  <c r="E104" i="131"/>
  <c r="E105" i="131"/>
  <c r="E106" i="131"/>
  <c r="E107" i="131"/>
  <c r="E108" i="131"/>
  <c r="E109" i="131"/>
  <c r="E110" i="131"/>
  <c r="E111" i="131"/>
  <c r="E112" i="131"/>
  <c r="E113" i="131"/>
  <c r="E114" i="131"/>
  <c r="E115" i="131"/>
  <c r="E116" i="131"/>
  <c r="E117" i="131"/>
  <c r="E118" i="131"/>
  <c r="E119" i="131"/>
  <c r="E120" i="131"/>
  <c r="E121" i="131"/>
  <c r="E122" i="131"/>
  <c r="E123" i="131"/>
  <c r="E124" i="131"/>
  <c r="E125" i="131"/>
  <c r="E126" i="131"/>
  <c r="E127" i="131"/>
  <c r="E128" i="131"/>
  <c r="E129" i="131"/>
  <c r="E130" i="131"/>
  <c r="E131" i="131"/>
  <c r="E132" i="131"/>
  <c r="E133" i="131"/>
  <c r="E134" i="131"/>
  <c r="E135" i="131"/>
  <c r="E136" i="131"/>
  <c r="E137" i="131"/>
  <c r="E138" i="131"/>
  <c r="E139" i="131"/>
  <c r="E140" i="131"/>
  <c r="E141" i="131"/>
  <c r="E142" i="131"/>
  <c r="E143" i="131"/>
  <c r="E144" i="131"/>
  <c r="E145" i="131"/>
  <c r="E146" i="131"/>
  <c r="E147" i="131"/>
  <c r="E148" i="131"/>
  <c r="E149" i="131"/>
  <c r="E150" i="131"/>
  <c r="E151" i="131"/>
  <c r="E152" i="131"/>
  <c r="E153" i="131"/>
  <c r="E154" i="131"/>
  <c r="E155" i="131"/>
  <c r="E156" i="131"/>
  <c r="E157" i="131"/>
  <c r="E158" i="131"/>
  <c r="E159" i="131"/>
  <c r="E160" i="131"/>
  <c r="E161" i="131"/>
  <c r="E162" i="131"/>
  <c r="E163" i="131"/>
  <c r="E164" i="131"/>
  <c r="E165" i="131"/>
  <c r="E166" i="131"/>
  <c r="E167" i="131"/>
  <c r="E168" i="131"/>
  <c r="E169" i="131"/>
  <c r="E170" i="131"/>
  <c r="E171" i="131"/>
  <c r="E172" i="131"/>
  <c r="E173" i="131"/>
  <c r="E174" i="131"/>
  <c r="E175" i="131"/>
  <c r="E176" i="131"/>
  <c r="E177" i="131"/>
  <c r="E178" i="131"/>
  <c r="E179" i="131"/>
  <c r="E180" i="131"/>
  <c r="E181" i="131"/>
  <c r="E182" i="131"/>
  <c r="E183" i="131"/>
  <c r="E184" i="131"/>
  <c r="E185" i="131"/>
  <c r="E186" i="131"/>
  <c r="E187" i="131"/>
  <c r="E188" i="131"/>
  <c r="E189" i="131"/>
  <c r="E190" i="131"/>
  <c r="E191" i="131"/>
  <c r="E192" i="131"/>
  <c r="E193" i="131"/>
  <c r="E194" i="131"/>
  <c r="E195" i="131"/>
  <c r="E196" i="131"/>
  <c r="E197" i="131"/>
  <c r="E198" i="131"/>
  <c r="E199" i="131"/>
  <c r="E200" i="131"/>
  <c r="E201" i="131"/>
  <c r="E202" i="131"/>
  <c r="E203" i="131"/>
  <c r="E204" i="131"/>
  <c r="E205" i="131"/>
  <c r="E206" i="131"/>
  <c r="E207" i="131"/>
  <c r="E208" i="131"/>
  <c r="E209" i="131"/>
  <c r="E210" i="131"/>
  <c r="E211" i="131"/>
  <c r="E212" i="131"/>
  <c r="E213" i="131"/>
  <c r="E214" i="131"/>
  <c r="E215" i="131"/>
  <c r="E216" i="131"/>
  <c r="E217" i="131"/>
  <c r="E218" i="131"/>
  <c r="E219" i="131"/>
  <c r="E220" i="131"/>
  <c r="E221" i="131"/>
  <c r="E222" i="131"/>
  <c r="E223" i="131"/>
  <c r="E224" i="131"/>
  <c r="E225" i="131"/>
  <c r="E226" i="131"/>
  <c r="E227" i="131"/>
  <c r="E228" i="131"/>
  <c r="E229" i="131"/>
  <c r="E230" i="131"/>
  <c r="E231" i="131"/>
  <c r="E232" i="131"/>
  <c r="E233" i="131"/>
  <c r="E234" i="131"/>
  <c r="E235" i="131"/>
  <c r="E236" i="131"/>
  <c r="E237" i="131"/>
  <c r="E238" i="131"/>
  <c r="E239" i="131"/>
  <c r="E240" i="131"/>
  <c r="E241" i="131"/>
  <c r="E242" i="131"/>
  <c r="E243" i="131"/>
  <c r="E244" i="131"/>
  <c r="E245" i="131"/>
  <c r="E246" i="131"/>
  <c r="E247" i="131"/>
  <c r="E248" i="131"/>
  <c r="E249" i="131"/>
  <c r="E250" i="131"/>
  <c r="E251" i="131"/>
  <c r="E252" i="131"/>
  <c r="E253" i="131"/>
  <c r="E254" i="131"/>
  <c r="E255" i="131"/>
  <c r="E256" i="131"/>
  <c r="E257" i="131"/>
  <c r="E258" i="131"/>
  <c r="E259" i="131"/>
  <c r="E260" i="131"/>
  <c r="E261" i="131"/>
  <c r="E262" i="131"/>
  <c r="E263" i="131"/>
  <c r="E264" i="131"/>
  <c r="E265" i="131"/>
  <c r="E266" i="131"/>
  <c r="E267" i="131"/>
  <c r="E268" i="131"/>
  <c r="E269" i="131"/>
  <c r="E270" i="131"/>
  <c r="E271" i="131"/>
  <c r="E272" i="131"/>
  <c r="E273" i="131"/>
  <c r="E274" i="131"/>
  <c r="E275" i="131"/>
  <c r="E276" i="131"/>
  <c r="E277" i="131"/>
  <c r="E278" i="131"/>
  <c r="E279" i="131"/>
  <c r="E280" i="131"/>
  <c r="E281" i="131"/>
  <c r="E282" i="131"/>
  <c r="E283" i="131"/>
  <c r="E284" i="131"/>
  <c r="E285" i="131"/>
  <c r="E286" i="131"/>
  <c r="E287" i="131"/>
  <c r="E5" i="131"/>
  <c r="E39" i="1"/>
  <c r="E286" i="105"/>
  <c r="E287" i="105"/>
  <c r="E288" i="105"/>
  <c r="D45" i="1"/>
  <c r="D44" i="1"/>
  <c r="D43" i="1"/>
  <c r="D42" i="1"/>
  <c r="D34" i="1"/>
  <c r="D33" i="1"/>
  <c r="D32" i="1"/>
  <c r="D31" i="1"/>
  <c r="D30" i="1"/>
  <c r="D29" i="1"/>
  <c r="D28" i="1"/>
  <c r="D11" i="1"/>
  <c r="D10" i="1"/>
  <c r="D9" i="1"/>
  <c r="D8" i="1"/>
  <c r="D7" i="1"/>
  <c r="D12" i="1" l="1"/>
  <c r="E45" i="1"/>
  <c r="E44" i="1"/>
  <c r="E43" i="1"/>
  <c r="E42" i="1"/>
  <c r="E34" i="1"/>
  <c r="E33" i="1"/>
  <c r="E32" i="1"/>
  <c r="E31" i="1"/>
  <c r="E30" i="1"/>
  <c r="E29" i="1"/>
  <c r="E28" i="1"/>
  <c r="E11" i="1"/>
  <c r="E10" i="1"/>
  <c r="E9" i="1"/>
  <c r="E8" i="1"/>
  <c r="E7" i="1"/>
  <c r="D39" i="1"/>
  <c r="D36" i="1"/>
  <c r="D35" i="1" s="1"/>
  <c r="F3" i="114"/>
  <c r="F4" i="114"/>
  <c r="F5" i="114"/>
  <c r="F6" i="114"/>
  <c r="F7" i="114"/>
  <c r="F8" i="114"/>
  <c r="F9" i="114"/>
  <c r="F10" i="114"/>
  <c r="F11" i="114"/>
  <c r="F12" i="114"/>
  <c r="F13" i="114"/>
  <c r="F14" i="114"/>
  <c r="F15" i="114"/>
  <c r="F16" i="114"/>
  <c r="F17" i="114"/>
  <c r="F18" i="114"/>
  <c r="F19" i="114"/>
  <c r="F20" i="114"/>
  <c r="F21" i="114"/>
  <c r="F22" i="114"/>
  <c r="F23" i="114"/>
  <c r="F24" i="114"/>
  <c r="F25" i="114"/>
  <c r="F26" i="114"/>
  <c r="F27" i="114"/>
  <c r="F28" i="114"/>
  <c r="F29" i="114"/>
  <c r="F30" i="114"/>
  <c r="F31" i="114"/>
  <c r="F32" i="114"/>
  <c r="F33" i="114"/>
  <c r="F34" i="114"/>
  <c r="F35" i="114"/>
  <c r="F36" i="114"/>
  <c r="F37" i="114"/>
  <c r="F38" i="114"/>
  <c r="F39" i="114"/>
  <c r="F40" i="114"/>
  <c r="F41" i="114"/>
  <c r="F42" i="114"/>
  <c r="F43" i="114"/>
  <c r="F44" i="114"/>
  <c r="F45" i="114"/>
  <c r="F46" i="114"/>
  <c r="F47" i="114"/>
  <c r="F48" i="114"/>
  <c r="F49" i="114"/>
  <c r="F50" i="114"/>
  <c r="F51" i="114"/>
  <c r="F52" i="114"/>
  <c r="F53" i="114"/>
  <c r="F54" i="114"/>
  <c r="F55" i="114"/>
  <c r="F56" i="114"/>
  <c r="F57" i="114"/>
  <c r="F58" i="114"/>
  <c r="F59" i="114"/>
  <c r="F60" i="114"/>
  <c r="F61" i="114"/>
  <c r="F62" i="114"/>
  <c r="F63" i="114"/>
  <c r="F64" i="114"/>
  <c r="F65" i="114"/>
  <c r="F66" i="114"/>
  <c r="F67" i="114"/>
  <c r="F68" i="114"/>
  <c r="F69" i="114"/>
  <c r="F70" i="114"/>
  <c r="F71" i="114"/>
  <c r="F72" i="114"/>
  <c r="F73" i="114"/>
  <c r="F74" i="114"/>
  <c r="F75" i="114"/>
  <c r="F76" i="114"/>
  <c r="F77" i="114"/>
  <c r="F78" i="114"/>
  <c r="F79" i="114"/>
  <c r="F80" i="114"/>
  <c r="F81" i="114"/>
  <c r="F82" i="114"/>
  <c r="F83" i="114"/>
  <c r="F84" i="114"/>
  <c r="F85" i="114"/>
  <c r="F86" i="114"/>
  <c r="F87" i="114"/>
  <c r="F88" i="114"/>
  <c r="F89" i="114"/>
  <c r="F90" i="114"/>
  <c r="F91" i="114"/>
  <c r="F92" i="114"/>
  <c r="F93" i="114"/>
  <c r="F94" i="114"/>
  <c r="F95" i="114"/>
  <c r="F96" i="114"/>
  <c r="F97" i="114"/>
  <c r="F98" i="114"/>
  <c r="F99" i="114"/>
  <c r="F100" i="114"/>
  <c r="F101" i="114"/>
  <c r="F102" i="114"/>
  <c r="F103" i="114"/>
  <c r="F104" i="114"/>
  <c r="F105" i="114"/>
  <c r="F106" i="114"/>
  <c r="F107" i="114"/>
  <c r="F108" i="114"/>
  <c r="F109" i="114"/>
  <c r="F110" i="114"/>
  <c r="F111" i="114"/>
  <c r="F112" i="114"/>
  <c r="F113" i="114"/>
  <c r="F114" i="114"/>
  <c r="F115" i="114"/>
  <c r="F116" i="114"/>
  <c r="F117" i="114"/>
  <c r="F118" i="114"/>
  <c r="F119" i="114"/>
  <c r="F120" i="114"/>
  <c r="F121" i="114"/>
  <c r="F122" i="114"/>
  <c r="F123" i="114"/>
  <c r="F124" i="114"/>
  <c r="F125" i="114"/>
  <c r="F126" i="114"/>
  <c r="F127" i="114"/>
  <c r="F128" i="114"/>
  <c r="F129" i="114"/>
  <c r="F130" i="114"/>
  <c r="F131" i="114"/>
  <c r="F132" i="114"/>
  <c r="F133" i="114"/>
  <c r="F134" i="114"/>
  <c r="F135" i="114"/>
  <c r="F136" i="114"/>
  <c r="F137" i="114"/>
  <c r="F138" i="114"/>
  <c r="F139" i="114"/>
  <c r="F140" i="114"/>
  <c r="F141" i="114"/>
  <c r="F142" i="114"/>
  <c r="F143" i="114"/>
  <c r="F144" i="114"/>
  <c r="F145" i="114"/>
  <c r="F146" i="114"/>
  <c r="F147" i="114"/>
  <c r="F148" i="114"/>
  <c r="F149" i="114"/>
  <c r="F150" i="114"/>
  <c r="F151" i="114"/>
  <c r="F152" i="114"/>
  <c r="F153" i="114"/>
  <c r="F154" i="114"/>
  <c r="F155" i="114"/>
  <c r="F156" i="114"/>
  <c r="F157" i="114"/>
  <c r="F158" i="114"/>
  <c r="F159" i="114"/>
  <c r="F160" i="114"/>
  <c r="F161" i="114"/>
  <c r="F162" i="114"/>
  <c r="F163" i="114"/>
  <c r="F164" i="114"/>
  <c r="F165" i="114"/>
  <c r="F166" i="114"/>
  <c r="F167" i="114"/>
  <c r="F168" i="114"/>
  <c r="F169" i="114"/>
  <c r="F170" i="114"/>
  <c r="F171" i="114"/>
  <c r="F172" i="114"/>
  <c r="F173" i="114"/>
  <c r="F174" i="114"/>
  <c r="F175" i="114"/>
  <c r="F176" i="114"/>
  <c r="F177" i="114"/>
  <c r="F178" i="114"/>
  <c r="F179" i="114"/>
  <c r="F180" i="114"/>
  <c r="F181" i="114"/>
  <c r="F182" i="114"/>
  <c r="F183" i="114"/>
  <c r="F184" i="114"/>
  <c r="F185" i="114"/>
  <c r="F186" i="114"/>
  <c r="F187" i="114"/>
  <c r="F188" i="114"/>
  <c r="F189" i="114"/>
  <c r="F190" i="114"/>
  <c r="F191" i="114"/>
  <c r="F192" i="114"/>
  <c r="F193" i="114"/>
  <c r="F194" i="114"/>
  <c r="F195" i="114"/>
  <c r="F196" i="114"/>
  <c r="F197" i="114"/>
  <c r="F198" i="114"/>
  <c r="F199" i="114"/>
  <c r="F200" i="114"/>
  <c r="F201" i="114"/>
  <c r="F202" i="114"/>
  <c r="F203" i="114"/>
  <c r="F204" i="114"/>
  <c r="F205" i="114"/>
  <c r="F206" i="114"/>
  <c r="F207" i="114"/>
  <c r="F208" i="114"/>
  <c r="F209" i="114"/>
  <c r="F210" i="114"/>
  <c r="F211" i="114"/>
  <c r="F212" i="114"/>
  <c r="F213" i="114"/>
  <c r="F214" i="114"/>
  <c r="F215" i="114"/>
  <c r="F216" i="114"/>
  <c r="F217" i="114"/>
  <c r="F218" i="114"/>
  <c r="F219" i="114"/>
  <c r="F220" i="114"/>
  <c r="F221" i="114"/>
  <c r="F222" i="114"/>
  <c r="F223" i="114"/>
  <c r="F224" i="114"/>
  <c r="F225" i="114"/>
  <c r="F226" i="114"/>
  <c r="F227" i="114"/>
  <c r="F228" i="114"/>
  <c r="F229" i="114"/>
  <c r="F230" i="114"/>
  <c r="F231" i="114"/>
  <c r="F232" i="114"/>
  <c r="F233" i="114"/>
  <c r="F234" i="114"/>
  <c r="F235" i="114"/>
  <c r="F236" i="114"/>
  <c r="F237" i="114"/>
  <c r="F238" i="114"/>
  <c r="F239" i="114"/>
  <c r="F240" i="114"/>
  <c r="F241" i="114"/>
  <c r="F242" i="114"/>
  <c r="F243" i="114"/>
  <c r="F244" i="114"/>
  <c r="F245" i="114"/>
  <c r="F246" i="114"/>
  <c r="F247" i="114"/>
  <c r="F248" i="114"/>
  <c r="F249" i="114"/>
  <c r="F250" i="114"/>
  <c r="F251" i="114"/>
  <c r="F252" i="114"/>
  <c r="F253" i="114"/>
  <c r="F254" i="114"/>
  <c r="F255" i="114"/>
  <c r="F256" i="114"/>
  <c r="F257" i="114"/>
  <c r="F258" i="114"/>
  <c r="F259" i="114"/>
  <c r="F260" i="114"/>
  <c r="F261" i="114"/>
  <c r="F262" i="114"/>
  <c r="F263" i="114"/>
  <c r="F264" i="114"/>
  <c r="F265" i="114"/>
  <c r="F266" i="114"/>
  <c r="F267" i="114"/>
  <c r="F268" i="114"/>
  <c r="F269" i="114"/>
  <c r="F270" i="114"/>
  <c r="F271" i="114"/>
  <c r="F272" i="114"/>
  <c r="F273" i="114"/>
  <c r="F274" i="114"/>
  <c r="F275" i="114"/>
  <c r="F276" i="114"/>
  <c r="F277" i="114"/>
  <c r="F278" i="114"/>
  <c r="F279" i="114"/>
  <c r="F280" i="114"/>
  <c r="F281" i="114"/>
  <c r="F282" i="114"/>
  <c r="F283" i="114"/>
  <c r="F284" i="114"/>
  <c r="F285" i="114"/>
  <c r="F286" i="114"/>
  <c r="F287" i="114"/>
  <c r="F288" i="114"/>
  <c r="F289" i="114"/>
  <c r="F290" i="114"/>
  <c r="F291" i="114"/>
  <c r="F292" i="114"/>
  <c r="F293" i="114"/>
  <c r="F294" i="114"/>
  <c r="F295" i="114"/>
  <c r="F296" i="114"/>
  <c r="F2" i="114"/>
  <c r="E21" i="1" l="1"/>
  <c r="F3" i="103"/>
  <c r="F4" i="103"/>
  <c r="F5" i="103"/>
  <c r="F6" i="103"/>
  <c r="F7" i="103"/>
  <c r="F8" i="103"/>
  <c r="F9" i="103"/>
  <c r="F10" i="103"/>
  <c r="F11" i="103"/>
  <c r="F12" i="103"/>
  <c r="F13" i="103"/>
  <c r="F14" i="103"/>
  <c r="F15" i="103"/>
  <c r="F16" i="103"/>
  <c r="F17" i="103"/>
  <c r="F18" i="103"/>
  <c r="F19" i="103"/>
  <c r="F20" i="103"/>
  <c r="F21" i="103"/>
  <c r="F22" i="103"/>
  <c r="F23" i="103"/>
  <c r="F24" i="103"/>
  <c r="F25" i="103"/>
  <c r="F26" i="103"/>
  <c r="F27" i="103"/>
  <c r="F28" i="103"/>
  <c r="F29" i="103"/>
  <c r="F30" i="103"/>
  <c r="F31" i="103"/>
  <c r="F32" i="103"/>
  <c r="F33" i="103"/>
  <c r="F34" i="103"/>
  <c r="F35" i="103"/>
  <c r="F36" i="103"/>
  <c r="F37" i="103"/>
  <c r="F38" i="103"/>
  <c r="F39" i="103"/>
  <c r="F40" i="103"/>
  <c r="F41" i="103"/>
  <c r="F42" i="103"/>
  <c r="F43" i="103"/>
  <c r="F44" i="103"/>
  <c r="F45" i="103"/>
  <c r="F46" i="103"/>
  <c r="F47" i="103"/>
  <c r="F48" i="103"/>
  <c r="F49" i="103"/>
  <c r="F50" i="103"/>
  <c r="F51" i="103"/>
  <c r="F52" i="103"/>
  <c r="F53" i="103"/>
  <c r="F54" i="103"/>
  <c r="F55" i="103"/>
  <c r="F56" i="103"/>
  <c r="F57" i="103"/>
  <c r="F58" i="103"/>
  <c r="F59" i="103"/>
  <c r="F60" i="103"/>
  <c r="F61" i="103"/>
  <c r="F62" i="103"/>
  <c r="F63" i="103"/>
  <c r="F64" i="103"/>
  <c r="F65" i="103"/>
  <c r="F66" i="103"/>
  <c r="F67" i="103"/>
  <c r="F68" i="103"/>
  <c r="F69" i="103"/>
  <c r="F70" i="103"/>
  <c r="F71" i="103"/>
  <c r="F72" i="103"/>
  <c r="F73" i="103"/>
  <c r="F74" i="103"/>
  <c r="F75" i="103"/>
  <c r="F76" i="103"/>
  <c r="F77" i="103"/>
  <c r="F78" i="103"/>
  <c r="F79" i="103"/>
  <c r="F80" i="103"/>
  <c r="F81" i="103"/>
  <c r="F82" i="103"/>
  <c r="F83" i="103"/>
  <c r="F84" i="103"/>
  <c r="F85" i="103"/>
  <c r="F86" i="103"/>
  <c r="F87" i="103"/>
  <c r="F88" i="103"/>
  <c r="F89" i="103"/>
  <c r="F90" i="103"/>
  <c r="F91" i="103"/>
  <c r="F92" i="103"/>
  <c r="F93" i="103"/>
  <c r="F94" i="103"/>
  <c r="F95" i="103"/>
  <c r="F96" i="103"/>
  <c r="F97" i="103"/>
  <c r="F98" i="103"/>
  <c r="F99" i="103"/>
  <c r="F100" i="103"/>
  <c r="F101" i="103"/>
  <c r="F102" i="103"/>
  <c r="F103" i="103"/>
  <c r="F104" i="103"/>
  <c r="F105" i="103"/>
  <c r="F106" i="103"/>
  <c r="F107" i="103"/>
  <c r="F108" i="103"/>
  <c r="F109" i="103"/>
  <c r="F110" i="103"/>
  <c r="F111" i="103"/>
  <c r="F112" i="103"/>
  <c r="F113" i="103"/>
  <c r="F114" i="103"/>
  <c r="F115" i="103"/>
  <c r="F116" i="103"/>
  <c r="F117" i="103"/>
  <c r="F118" i="103"/>
  <c r="F119" i="103"/>
  <c r="F120" i="103"/>
  <c r="F121" i="103"/>
  <c r="F122" i="103"/>
  <c r="F123" i="103"/>
  <c r="F124" i="103"/>
  <c r="F125" i="103"/>
  <c r="F126" i="103"/>
  <c r="F127" i="103"/>
  <c r="F128" i="103"/>
  <c r="F129" i="103"/>
  <c r="F130" i="103"/>
  <c r="F131" i="103"/>
  <c r="F132" i="103"/>
  <c r="F133" i="103"/>
  <c r="F134" i="103"/>
  <c r="F135" i="103"/>
  <c r="F136" i="103"/>
  <c r="F137" i="103"/>
  <c r="F138" i="103"/>
  <c r="F139" i="103"/>
  <c r="F140" i="103"/>
  <c r="F141" i="103"/>
  <c r="F142" i="103"/>
  <c r="F143" i="103"/>
  <c r="F144" i="103"/>
  <c r="F145" i="103"/>
  <c r="F146" i="103"/>
  <c r="F147" i="103"/>
  <c r="F148" i="103"/>
  <c r="F149" i="103"/>
  <c r="F150" i="103"/>
  <c r="F151" i="103"/>
  <c r="F152" i="103"/>
  <c r="F153" i="103"/>
  <c r="F154" i="103"/>
  <c r="F155" i="103"/>
  <c r="F156" i="103"/>
  <c r="F157" i="103"/>
  <c r="F158" i="103"/>
  <c r="F159" i="103"/>
  <c r="F160" i="103"/>
  <c r="F161" i="103"/>
  <c r="F162" i="103"/>
  <c r="F163" i="103"/>
  <c r="F164" i="103"/>
  <c r="F165" i="103"/>
  <c r="F166" i="103"/>
  <c r="F167" i="103"/>
  <c r="F168" i="103"/>
  <c r="F169" i="103"/>
  <c r="F170" i="103"/>
  <c r="F171" i="103"/>
  <c r="F172" i="103"/>
  <c r="F173" i="103"/>
  <c r="F174" i="103"/>
  <c r="F175" i="103"/>
  <c r="F176" i="103"/>
  <c r="F177" i="103"/>
  <c r="F178" i="103"/>
  <c r="F179" i="103"/>
  <c r="F180" i="103"/>
  <c r="F181" i="103"/>
  <c r="F182" i="103"/>
  <c r="F183" i="103"/>
  <c r="F184" i="103"/>
  <c r="F185" i="103"/>
  <c r="F186" i="103"/>
  <c r="F187" i="103"/>
  <c r="F188" i="103"/>
  <c r="F189" i="103"/>
  <c r="F190" i="103"/>
  <c r="F191" i="103"/>
  <c r="F192" i="103"/>
  <c r="F193" i="103"/>
  <c r="F194" i="103"/>
  <c r="F195" i="103"/>
  <c r="F196" i="103"/>
  <c r="F197" i="103"/>
  <c r="F198" i="103"/>
  <c r="F199" i="103"/>
  <c r="F200" i="103"/>
  <c r="F201" i="103"/>
  <c r="F202" i="103"/>
  <c r="F203" i="103"/>
  <c r="F204" i="103"/>
  <c r="F205" i="103"/>
  <c r="F206" i="103"/>
  <c r="F207" i="103"/>
  <c r="F208" i="103"/>
  <c r="F209" i="103"/>
  <c r="F210" i="103"/>
  <c r="F211" i="103"/>
  <c r="F212" i="103"/>
  <c r="F213" i="103"/>
  <c r="F214" i="103"/>
  <c r="F215" i="103"/>
  <c r="F216" i="103"/>
  <c r="F217" i="103"/>
  <c r="F218" i="103"/>
  <c r="F219" i="103"/>
  <c r="F220" i="103"/>
  <c r="F221" i="103"/>
  <c r="F222" i="103"/>
  <c r="F223" i="103"/>
  <c r="F224" i="103"/>
  <c r="F225" i="103"/>
  <c r="F226" i="103"/>
  <c r="F227" i="103"/>
  <c r="F228" i="103"/>
  <c r="F229" i="103"/>
  <c r="F230" i="103"/>
  <c r="F231" i="103"/>
  <c r="F232" i="103"/>
  <c r="F233" i="103"/>
  <c r="F234" i="103"/>
  <c r="F235" i="103"/>
  <c r="F236" i="103"/>
  <c r="F237" i="103"/>
  <c r="F238" i="103"/>
  <c r="F239" i="103"/>
  <c r="F240" i="103"/>
  <c r="F241" i="103"/>
  <c r="F242" i="103"/>
  <c r="F243" i="103"/>
  <c r="F244" i="103"/>
  <c r="F245" i="103"/>
  <c r="F246" i="103"/>
  <c r="F247" i="103"/>
  <c r="F248" i="103"/>
  <c r="F249" i="103"/>
  <c r="F250" i="103"/>
  <c r="F251" i="103"/>
  <c r="F252" i="103"/>
  <c r="F253" i="103"/>
  <c r="F254" i="103"/>
  <c r="F255" i="103"/>
  <c r="F256" i="103"/>
  <c r="F257" i="103"/>
  <c r="F258" i="103"/>
  <c r="F259" i="103"/>
  <c r="F260" i="103"/>
  <c r="F261" i="103"/>
  <c r="F262" i="103"/>
  <c r="F263" i="103"/>
  <c r="F264" i="103"/>
  <c r="F265" i="103"/>
  <c r="F266" i="103"/>
  <c r="F267" i="103"/>
  <c r="F268" i="103"/>
  <c r="F269" i="103"/>
  <c r="F270" i="103"/>
  <c r="F271" i="103"/>
  <c r="F272" i="103"/>
  <c r="F273" i="103"/>
  <c r="F274" i="103"/>
  <c r="F275" i="103"/>
  <c r="F276" i="103"/>
  <c r="F277" i="103"/>
  <c r="F278" i="103"/>
  <c r="F279" i="103"/>
  <c r="F280" i="103"/>
  <c r="F281" i="103"/>
  <c r="F282" i="103"/>
  <c r="F283" i="103"/>
  <c r="F284" i="103"/>
  <c r="F285" i="103"/>
  <c r="F286" i="103"/>
  <c r="F287" i="103"/>
  <c r="F288" i="103"/>
  <c r="F289" i="103"/>
  <c r="F290" i="103"/>
  <c r="F291" i="103"/>
  <c r="F292" i="103"/>
  <c r="F293" i="103"/>
  <c r="F294" i="103"/>
  <c r="F295" i="103"/>
  <c r="F2" i="103"/>
  <c r="F16" i="1" l="1"/>
  <c r="C16" i="1"/>
  <c r="E56" i="1" l="1"/>
  <c r="AK117" i="101"/>
  <c r="AC117" i="101"/>
  <c r="U117" i="101"/>
  <c r="M117" i="101"/>
  <c r="AJ117" i="101"/>
  <c r="AB117" i="101"/>
  <c r="T117" i="101"/>
  <c r="L117" i="101"/>
  <c r="L116" i="101"/>
  <c r="L107" i="101"/>
  <c r="L98" i="101"/>
  <c r="L89" i="101"/>
  <c r="L80" i="101"/>
  <c r="L77" i="101"/>
  <c r="L68" i="101"/>
  <c r="L59" i="101"/>
  <c r="L50" i="101"/>
  <c r="L41" i="101"/>
  <c r="L32" i="101"/>
  <c r="L23" i="101"/>
  <c r="L14" i="101"/>
  <c r="E5" i="116"/>
  <c r="E6" i="116"/>
  <c r="E7" i="116"/>
  <c r="E8" i="116"/>
  <c r="E9" i="116"/>
  <c r="E10" i="116"/>
  <c r="E11" i="116"/>
  <c r="E12" i="116"/>
  <c r="E13" i="116"/>
  <c r="E14" i="116"/>
  <c r="E15" i="116"/>
  <c r="E16" i="116"/>
  <c r="E17" i="116"/>
  <c r="E18" i="116"/>
  <c r="E19" i="116"/>
  <c r="E20" i="116"/>
  <c r="E21" i="116"/>
  <c r="E22" i="116"/>
  <c r="E23" i="116"/>
  <c r="E24" i="116"/>
  <c r="E25" i="116"/>
  <c r="E26" i="116"/>
  <c r="E27" i="116"/>
  <c r="E28" i="116"/>
  <c r="E29" i="116"/>
  <c r="E30" i="116"/>
  <c r="E31" i="116"/>
  <c r="E32" i="116"/>
  <c r="E33" i="116"/>
  <c r="E34" i="116"/>
  <c r="E35" i="116"/>
  <c r="E36" i="116"/>
  <c r="E37" i="116"/>
  <c r="E38" i="116"/>
  <c r="E39" i="116"/>
  <c r="E40" i="116"/>
  <c r="E41" i="116"/>
  <c r="E42" i="116"/>
  <c r="E43" i="116"/>
  <c r="E44" i="116"/>
  <c r="E45" i="116"/>
  <c r="E46" i="116"/>
  <c r="E47" i="116"/>
  <c r="E48" i="116"/>
  <c r="E49" i="116"/>
  <c r="E50" i="116"/>
  <c r="E51" i="116"/>
  <c r="E52" i="116"/>
  <c r="E53" i="116"/>
  <c r="E54" i="116"/>
  <c r="E55" i="116"/>
  <c r="E56" i="116"/>
  <c r="E57" i="116"/>
  <c r="E58" i="116"/>
  <c r="E59" i="116"/>
  <c r="E60" i="116"/>
  <c r="E61" i="116"/>
  <c r="E62" i="116"/>
  <c r="E63" i="116"/>
  <c r="E64" i="116"/>
  <c r="E65" i="116"/>
  <c r="E66" i="116"/>
  <c r="E67" i="116"/>
  <c r="E68" i="116"/>
  <c r="E69" i="116"/>
  <c r="E70" i="116"/>
  <c r="E71" i="116"/>
  <c r="E72" i="116"/>
  <c r="E73" i="116"/>
  <c r="E74" i="116"/>
  <c r="E75" i="116"/>
  <c r="E76" i="116"/>
  <c r="E77" i="116"/>
  <c r="E78" i="116"/>
  <c r="E79" i="116"/>
  <c r="E80" i="116"/>
  <c r="E81" i="116"/>
  <c r="E82" i="116"/>
  <c r="E83" i="116"/>
  <c r="E84" i="116"/>
  <c r="E85" i="116"/>
  <c r="E86" i="116"/>
  <c r="E87" i="116"/>
  <c r="E88" i="116"/>
  <c r="E89" i="116"/>
  <c r="E90" i="116"/>
  <c r="E91" i="116"/>
  <c r="E92" i="116"/>
  <c r="E93" i="116"/>
  <c r="E94" i="116"/>
  <c r="E95" i="116"/>
  <c r="E96" i="116"/>
  <c r="E97" i="116"/>
  <c r="E98" i="116"/>
  <c r="E99" i="116"/>
  <c r="E100" i="116"/>
  <c r="E101" i="116"/>
  <c r="E102" i="116"/>
  <c r="E103" i="116"/>
  <c r="E104" i="116"/>
  <c r="E105" i="116"/>
  <c r="E106" i="116"/>
  <c r="E107" i="116"/>
  <c r="E108" i="116"/>
  <c r="E109" i="116"/>
  <c r="E110" i="116"/>
  <c r="E111" i="116"/>
  <c r="E112" i="116"/>
  <c r="E113" i="116"/>
  <c r="E114" i="116"/>
  <c r="E115" i="116"/>
  <c r="E116" i="116"/>
  <c r="E117" i="116"/>
  <c r="E118" i="116"/>
  <c r="E119" i="116"/>
  <c r="E120" i="116"/>
  <c r="E121" i="116"/>
  <c r="E122" i="116"/>
  <c r="E123" i="116"/>
  <c r="E124" i="116"/>
  <c r="E125" i="116"/>
  <c r="E126" i="116"/>
  <c r="E127" i="116"/>
  <c r="E128" i="116"/>
  <c r="E129" i="116"/>
  <c r="E130" i="116"/>
  <c r="E131" i="116"/>
  <c r="E132" i="116"/>
  <c r="E133" i="116"/>
  <c r="E134" i="116"/>
  <c r="E135" i="116"/>
  <c r="E136" i="116"/>
  <c r="E137" i="116"/>
  <c r="E138" i="116"/>
  <c r="E139" i="116"/>
  <c r="E140" i="116"/>
  <c r="E141" i="116"/>
  <c r="E142" i="116"/>
  <c r="E143" i="116"/>
  <c r="E144" i="116"/>
  <c r="E145" i="116"/>
  <c r="E146" i="116"/>
  <c r="E147" i="116"/>
  <c r="E148" i="116"/>
  <c r="E149" i="116"/>
  <c r="E150" i="116"/>
  <c r="E151" i="116"/>
  <c r="E152" i="116"/>
  <c r="E153" i="116"/>
  <c r="E154" i="116"/>
  <c r="E155" i="116"/>
  <c r="E156" i="116"/>
  <c r="E157" i="116"/>
  <c r="E158" i="116"/>
  <c r="E159" i="116"/>
  <c r="E160" i="116"/>
  <c r="E161" i="116"/>
  <c r="E162" i="116"/>
  <c r="E163" i="116"/>
  <c r="E164" i="116"/>
  <c r="E165" i="116"/>
  <c r="E166" i="116"/>
  <c r="E167" i="116"/>
  <c r="E168" i="116"/>
  <c r="E169" i="116"/>
  <c r="E170" i="116"/>
  <c r="E171" i="116"/>
  <c r="E172" i="116"/>
  <c r="E173" i="116"/>
  <c r="E174" i="116"/>
  <c r="E175" i="116"/>
  <c r="E176" i="116"/>
  <c r="E177" i="116"/>
  <c r="E178" i="116"/>
  <c r="E179" i="116"/>
  <c r="E180" i="116"/>
  <c r="E181" i="116"/>
  <c r="E182" i="116"/>
  <c r="E183" i="116"/>
  <c r="E184" i="116"/>
  <c r="E185" i="116"/>
  <c r="E186" i="116"/>
  <c r="E187" i="116"/>
  <c r="E188" i="116"/>
  <c r="E189" i="116"/>
  <c r="E190" i="116"/>
  <c r="E191" i="116"/>
  <c r="E192" i="116"/>
  <c r="E193" i="116"/>
  <c r="E194" i="116"/>
  <c r="E195" i="116"/>
  <c r="E196" i="116"/>
  <c r="E197" i="116"/>
  <c r="E198" i="116"/>
  <c r="E199" i="116"/>
  <c r="E200" i="116"/>
  <c r="E201" i="116"/>
  <c r="E202" i="116"/>
  <c r="E203" i="116"/>
  <c r="E204" i="116"/>
  <c r="E205" i="116"/>
  <c r="E206" i="116"/>
  <c r="E207" i="116"/>
  <c r="E208" i="116"/>
  <c r="E209" i="116"/>
  <c r="E210" i="116"/>
  <c r="E211" i="116"/>
  <c r="E212" i="116"/>
  <c r="E213" i="116"/>
  <c r="E214" i="116"/>
  <c r="E215" i="116"/>
  <c r="E216" i="116"/>
  <c r="E217" i="116"/>
  <c r="E218" i="116"/>
  <c r="E219" i="116"/>
  <c r="E220" i="116"/>
  <c r="E221" i="116"/>
  <c r="E222" i="116"/>
  <c r="E223" i="116"/>
  <c r="E224" i="116"/>
  <c r="E225" i="116"/>
  <c r="E226" i="116"/>
  <c r="E227" i="116"/>
  <c r="E228" i="116"/>
  <c r="E229" i="116"/>
  <c r="E230" i="116"/>
  <c r="E231" i="116"/>
  <c r="E232" i="116"/>
  <c r="E233" i="116"/>
  <c r="E234" i="116"/>
  <c r="E235" i="116"/>
  <c r="E236" i="116"/>
  <c r="E237" i="116"/>
  <c r="E238" i="116"/>
  <c r="E239" i="116"/>
  <c r="E240" i="116"/>
  <c r="E241" i="116"/>
  <c r="E242" i="116"/>
  <c r="E243" i="116"/>
  <c r="E244" i="116"/>
  <c r="E245" i="116"/>
  <c r="E246" i="116"/>
  <c r="E247" i="116"/>
  <c r="E248" i="116"/>
  <c r="E249" i="116"/>
  <c r="E250" i="116"/>
  <c r="E251" i="116"/>
  <c r="E252" i="116"/>
  <c r="E253" i="116"/>
  <c r="E254" i="116"/>
  <c r="E255" i="116"/>
  <c r="E256" i="116"/>
  <c r="E257" i="116"/>
  <c r="E258" i="116"/>
  <c r="E259" i="116"/>
  <c r="E260" i="116"/>
  <c r="E261" i="116"/>
  <c r="E262" i="116"/>
  <c r="E263" i="116"/>
  <c r="E264" i="116"/>
  <c r="E265" i="116"/>
  <c r="E266" i="116"/>
  <c r="E267" i="116"/>
  <c r="E268" i="116"/>
  <c r="E269" i="116"/>
  <c r="E270" i="116"/>
  <c r="E271" i="116"/>
  <c r="E272" i="116"/>
  <c r="E273" i="116"/>
  <c r="E274" i="116"/>
  <c r="E275" i="116"/>
  <c r="E276" i="116"/>
  <c r="E277" i="116"/>
  <c r="E278" i="116"/>
  <c r="E279" i="116"/>
  <c r="E280" i="116"/>
  <c r="E281" i="116"/>
  <c r="E282" i="116"/>
  <c r="E283" i="116"/>
  <c r="E4" i="116"/>
  <c r="E3" i="121"/>
  <c r="E4" i="121"/>
  <c r="E5" i="121"/>
  <c r="E6" i="121"/>
  <c r="E7" i="121"/>
  <c r="E8" i="121"/>
  <c r="E9" i="121"/>
  <c r="E10" i="121"/>
  <c r="E11" i="121"/>
  <c r="E12" i="121"/>
  <c r="E13" i="121"/>
  <c r="E2" i="121"/>
  <c r="AA92" i="101"/>
  <c r="C47" i="101"/>
  <c r="AI35" i="101"/>
  <c r="C12" i="101"/>
  <c r="AA106" i="101"/>
  <c r="K83" i="101"/>
  <c r="AI60" i="101"/>
  <c r="AI92" i="101"/>
  <c r="AA20" i="101"/>
  <c r="AA113" i="101"/>
  <c r="S85" i="101"/>
  <c r="C45" i="101"/>
  <c r="AI94" i="101"/>
  <c r="C72" i="101"/>
  <c r="AA86" i="101"/>
  <c r="AA56" i="101"/>
  <c r="C40" i="101"/>
  <c r="S26" i="101"/>
  <c r="C21" i="101"/>
  <c r="K65" i="101"/>
  <c r="C42" i="101"/>
  <c r="C73" i="101"/>
  <c r="K113" i="101"/>
  <c r="C56" i="101"/>
  <c r="AI29" i="101"/>
  <c r="K100" i="101"/>
  <c r="S45" i="101"/>
  <c r="C74" i="101"/>
  <c r="K39" i="101"/>
  <c r="AA67" i="101"/>
  <c r="C26" i="101"/>
  <c r="AI40" i="101"/>
  <c r="C10" i="101"/>
  <c r="S94" i="101"/>
  <c r="C49" i="101"/>
  <c r="C101" i="101"/>
  <c r="K72" i="101"/>
  <c r="AI44" i="101"/>
  <c r="AA91" i="101"/>
  <c r="K13" i="101"/>
  <c r="AI21" i="101"/>
  <c r="AA34" i="101"/>
  <c r="S55" i="101"/>
  <c r="AA16" i="101"/>
  <c r="S17" i="101"/>
  <c r="C36" i="101"/>
  <c r="C106" i="101"/>
  <c r="S102" i="101"/>
  <c r="C99" i="101"/>
  <c r="AA35" i="101"/>
  <c r="AI7" i="101"/>
  <c r="S92" i="101"/>
  <c r="S63" i="101"/>
  <c r="C17" i="101"/>
  <c r="C76" i="101"/>
  <c r="K21" i="101"/>
  <c r="C63" i="101"/>
  <c r="AI55" i="101"/>
  <c r="K58" i="101"/>
  <c r="AA54" i="101"/>
  <c r="AI87" i="101"/>
  <c r="S84" i="101"/>
  <c r="K88" i="101"/>
  <c r="AA109" i="101"/>
  <c r="AA10" i="101"/>
  <c r="S72" i="101"/>
  <c r="AA26" i="101"/>
  <c r="AA87" i="101"/>
  <c r="AI25" i="101"/>
  <c r="AA115" i="101"/>
  <c r="AA22" i="101"/>
  <c r="K12" i="101"/>
  <c r="K91" i="101"/>
  <c r="AA100" i="101"/>
  <c r="AA46" i="101"/>
  <c r="C103" i="101"/>
  <c r="AA94" i="101"/>
  <c r="AI114" i="101"/>
  <c r="C91" i="101"/>
  <c r="K84" i="101"/>
  <c r="AI43" i="101"/>
  <c r="AA103" i="101"/>
  <c r="AA65" i="101"/>
  <c r="AA53" i="101"/>
  <c r="AI100" i="101"/>
  <c r="C39" i="101"/>
  <c r="AI16" i="101"/>
  <c r="K19" i="101"/>
  <c r="AA21" i="101"/>
  <c r="K17" i="101"/>
  <c r="AA84" i="101"/>
  <c r="S10" i="101"/>
  <c r="AA99" i="101"/>
  <c r="AI84" i="101"/>
  <c r="AA43" i="101"/>
  <c r="S35" i="101"/>
  <c r="AA95" i="101"/>
  <c r="AA17" i="101"/>
  <c r="K22" i="101"/>
  <c r="AA25" i="101"/>
  <c r="S96" i="101"/>
  <c r="K101" i="101"/>
  <c r="C34" i="101"/>
  <c r="S113" i="101"/>
  <c r="AA111" i="101"/>
  <c r="S82" i="101"/>
  <c r="AI109" i="101"/>
  <c r="S108" i="101"/>
  <c r="K61" i="101"/>
  <c r="S100" i="101"/>
  <c r="K69" i="101"/>
  <c r="AA31" i="101"/>
  <c r="S62" i="101"/>
  <c r="AI54" i="101"/>
  <c r="K9" i="101"/>
  <c r="S76" i="101"/>
  <c r="C85" i="101"/>
  <c r="C115" i="101"/>
  <c r="S42" i="101"/>
  <c r="K96" i="101"/>
  <c r="C46" i="101"/>
  <c r="S69" i="101"/>
  <c r="S40" i="101"/>
  <c r="AA40" i="101"/>
  <c r="AI49" i="101"/>
  <c r="AI38" i="101"/>
  <c r="K62" i="101"/>
  <c r="K81" i="101"/>
  <c r="AI95" i="101"/>
  <c r="K33" i="101"/>
  <c r="C83" i="101"/>
  <c r="K40" i="101"/>
  <c r="S31" i="101"/>
  <c r="K45" i="101"/>
  <c r="AA76" i="101"/>
  <c r="C19" i="101"/>
  <c r="K97" i="101"/>
  <c r="AA62" i="101"/>
  <c r="AI70" i="101"/>
  <c r="S22" i="101"/>
  <c r="K99" i="101"/>
  <c r="S52" i="101"/>
  <c r="S91" i="101"/>
  <c r="C66" i="101"/>
  <c r="K7" i="101"/>
  <c r="K74" i="101"/>
  <c r="AA52" i="101"/>
  <c r="C105" i="101"/>
  <c r="K95" i="101"/>
  <c r="AI112" i="101"/>
  <c r="AI11" i="101"/>
  <c r="K37" i="101"/>
  <c r="C87" i="101"/>
  <c r="AI101" i="101"/>
  <c r="C97" i="101"/>
  <c r="C86" i="101"/>
  <c r="AI96" i="101"/>
  <c r="AA85" i="101"/>
  <c r="K53" i="101"/>
  <c r="K47" i="101"/>
  <c r="AI58" i="101"/>
  <c r="AI73" i="101"/>
  <c r="K29" i="101"/>
  <c r="AI24" i="101"/>
  <c r="S90" i="101"/>
  <c r="S93" i="101"/>
  <c r="S49" i="101"/>
  <c r="AI106" i="101"/>
  <c r="K66" i="101"/>
  <c r="AA11" i="101"/>
  <c r="AI111" i="101"/>
  <c r="AA47" i="101"/>
  <c r="AA88" i="101"/>
  <c r="AI103" i="101"/>
  <c r="AA27" i="101"/>
  <c r="S54" i="101"/>
  <c r="AI75" i="101"/>
  <c r="S74" i="101"/>
  <c r="C44" i="101"/>
  <c r="AI52" i="101"/>
  <c r="AA102" i="101"/>
  <c r="K54" i="101"/>
  <c r="C29" i="101"/>
  <c r="AA60" i="101"/>
  <c r="C71" i="101"/>
  <c r="AA97" i="101"/>
  <c r="AI45" i="101"/>
  <c r="C90" i="101"/>
  <c r="S79" i="101"/>
  <c r="C88" i="101"/>
  <c r="S66" i="101"/>
  <c r="S37" i="101"/>
  <c r="C113" i="101"/>
  <c r="S20" i="101"/>
  <c r="AI36" i="101"/>
  <c r="C96" i="101"/>
  <c r="K105" i="101"/>
  <c r="AA44" i="101"/>
  <c r="K57" i="101"/>
  <c r="AI30" i="101"/>
  <c r="AI48" i="101"/>
  <c r="S43" i="101"/>
  <c r="C33" i="101"/>
  <c r="S67" i="101"/>
  <c r="C22" i="101"/>
  <c r="C61" i="101"/>
  <c r="K34" i="101"/>
  <c r="C16" i="101"/>
  <c r="S57" i="101"/>
  <c r="AA81" i="101"/>
  <c r="AI71" i="101"/>
  <c r="AA29" i="101"/>
  <c r="AA64" i="101"/>
  <c r="K93" i="101"/>
  <c r="S24" i="101"/>
  <c r="C75" i="101"/>
  <c r="C43" i="101"/>
  <c r="S11" i="101"/>
  <c r="AI22" i="101"/>
  <c r="K49" i="101"/>
  <c r="K18" i="101"/>
  <c r="S106" i="101"/>
  <c r="S27" i="101"/>
  <c r="C64" i="101"/>
  <c r="K15" i="101"/>
  <c r="AA48" i="101"/>
  <c r="C104" i="101"/>
  <c r="K24" i="101"/>
  <c r="AA9" i="101"/>
  <c r="C95" i="101"/>
  <c r="K31" i="101"/>
  <c r="AI93" i="101"/>
  <c r="C6" i="101"/>
  <c r="AI51" i="101"/>
  <c r="AA69" i="101"/>
  <c r="C30" i="101"/>
  <c r="C18" i="101"/>
  <c r="S99" i="101"/>
  <c r="AI86" i="101"/>
  <c r="K104" i="101"/>
  <c r="S29" i="101"/>
  <c r="S15" i="101"/>
  <c r="K6" i="101"/>
  <c r="AI82" i="101"/>
  <c r="S21" i="101"/>
  <c r="AI85" i="101"/>
  <c r="S70" i="101"/>
  <c r="C69" i="101"/>
  <c r="C13" i="101"/>
  <c r="S56" i="101"/>
  <c r="K30" i="101"/>
  <c r="AI108" i="101"/>
  <c r="C92" i="101"/>
  <c r="S65" i="101"/>
  <c r="AA55" i="101"/>
  <c r="K94" i="101"/>
  <c r="S60" i="101"/>
  <c r="S81" i="101"/>
  <c r="C31" i="101"/>
  <c r="C102" i="101"/>
  <c r="S48" i="101"/>
  <c r="AI42" i="101"/>
  <c r="C109" i="101"/>
  <c r="K44" i="101"/>
  <c r="K112" i="101"/>
  <c r="AI97" i="101"/>
  <c r="K90" i="101"/>
  <c r="AI19" i="101"/>
  <c r="AA18" i="101"/>
  <c r="S86" i="101"/>
  <c r="S8" i="101"/>
  <c r="AA57" i="101"/>
  <c r="K60" i="101"/>
  <c r="AA15" i="101"/>
  <c r="AA33" i="101"/>
  <c r="C8" i="101"/>
  <c r="AI46" i="101"/>
  <c r="S87" i="101"/>
  <c r="C110" i="101"/>
  <c r="AI62" i="101"/>
  <c r="AA24" i="101"/>
  <c r="AA112" i="101"/>
  <c r="AI17" i="101"/>
  <c r="AA79" i="101"/>
  <c r="C93" i="101"/>
  <c r="AI13" i="101"/>
  <c r="AA71" i="101"/>
  <c r="S53" i="101"/>
  <c r="C84" i="101"/>
  <c r="S83" i="101"/>
  <c r="AA42" i="101"/>
  <c r="AA12" i="101"/>
  <c r="K25" i="101"/>
  <c r="C48" i="101"/>
  <c r="C94" i="101"/>
  <c r="AI63" i="101"/>
  <c r="S16" i="101"/>
  <c r="K28" i="101"/>
  <c r="S64" i="101"/>
  <c r="AA61" i="101"/>
  <c r="AI65" i="101"/>
  <c r="K115" i="101"/>
  <c r="AI15" i="101"/>
  <c r="S110" i="101"/>
  <c r="AA6" i="101"/>
  <c r="AA110" i="101"/>
  <c r="AI105" i="101"/>
  <c r="AI91" i="101"/>
  <c r="K79" i="101"/>
  <c r="K36" i="101"/>
  <c r="AI67" i="101"/>
  <c r="AI61" i="101"/>
  <c r="K63" i="101"/>
  <c r="AA36" i="101"/>
  <c r="S97" i="101"/>
  <c r="C54" i="101"/>
  <c r="AA74" i="101"/>
  <c r="K11" i="101"/>
  <c r="AA49" i="101"/>
  <c r="C25" i="101"/>
  <c r="C70" i="101"/>
  <c r="S7" i="101"/>
  <c r="K71" i="101"/>
  <c r="AA8" i="101"/>
  <c r="AI28" i="101"/>
  <c r="C67" i="101"/>
  <c r="AI26" i="101"/>
  <c r="K85" i="101"/>
  <c r="AI53" i="101"/>
  <c r="C57" i="101"/>
  <c r="S103" i="101"/>
  <c r="AA108" i="101"/>
  <c r="AI9" i="101"/>
  <c r="K48" i="101"/>
  <c r="AI90" i="101"/>
  <c r="AI79" i="101"/>
  <c r="S30" i="101"/>
  <c r="AA104" i="101"/>
  <c r="K70" i="101"/>
  <c r="AI47" i="101"/>
  <c r="S51" i="101"/>
  <c r="AI10" i="101"/>
  <c r="S95" i="101"/>
  <c r="C114" i="101"/>
  <c r="AI12" i="101"/>
  <c r="K110" i="101"/>
  <c r="AI99" i="101"/>
  <c r="C24" i="101"/>
  <c r="S38" i="101"/>
  <c r="C60" i="101"/>
  <c r="C15" i="101"/>
  <c r="C51" i="101"/>
  <c r="C58" i="101"/>
  <c r="AA82" i="101"/>
  <c r="K111" i="101"/>
  <c r="AA7" i="101"/>
  <c r="K35" i="101"/>
  <c r="AA73" i="101"/>
  <c r="S39" i="101"/>
  <c r="AI76" i="101"/>
  <c r="C65" i="101"/>
  <c r="S12" i="101"/>
  <c r="S34" i="101"/>
  <c r="K108" i="101"/>
  <c r="AI64" i="101"/>
  <c r="K52" i="101"/>
  <c r="AI20" i="101"/>
  <c r="K73" i="101"/>
  <c r="K56" i="101"/>
  <c r="AI6" i="101"/>
  <c r="C35" i="101"/>
  <c r="S111" i="101"/>
  <c r="AA72" i="101"/>
  <c r="S88" i="101"/>
  <c r="S19" i="101"/>
  <c r="AA101" i="101"/>
  <c r="K55" i="101"/>
  <c r="K46" i="101"/>
  <c r="AI81" i="101"/>
  <c r="S61" i="101"/>
  <c r="K67" i="101"/>
  <c r="S104" i="101"/>
  <c r="AA37" i="101"/>
  <c r="S112" i="101"/>
  <c r="C28" i="101"/>
  <c r="S109" i="101"/>
  <c r="K10" i="101"/>
  <c r="AA75" i="101"/>
  <c r="AI88" i="101"/>
  <c r="S71" i="101"/>
  <c r="K86" i="101"/>
  <c r="S73" i="101"/>
  <c r="K82" i="101"/>
  <c r="K87" i="101"/>
  <c r="AA93" i="101"/>
  <c r="K42" i="101"/>
  <c r="K38" i="101"/>
  <c r="K114" i="101"/>
  <c r="C82" i="101"/>
  <c r="C79" i="101"/>
  <c r="K75" i="101"/>
  <c r="AI113" i="101"/>
  <c r="AA114" i="101"/>
  <c r="C55" i="101"/>
  <c r="AI74" i="101"/>
  <c r="AI56" i="101"/>
  <c r="K109" i="101"/>
  <c r="K51" i="101"/>
  <c r="AA63" i="101"/>
  <c r="C37" i="101"/>
  <c r="AA45" i="101"/>
  <c r="K76" i="101"/>
  <c r="AA83" i="101"/>
  <c r="AI115" i="101"/>
  <c r="AA13" i="101"/>
  <c r="S101" i="101"/>
  <c r="C7" i="101"/>
  <c r="K43" i="101"/>
  <c r="AA28" i="101"/>
  <c r="S6" i="101"/>
  <c r="AI18" i="101"/>
  <c r="K27" i="101"/>
  <c r="C108" i="101"/>
  <c r="AI31" i="101"/>
  <c r="AA58" i="101"/>
  <c r="K20" i="101"/>
  <c r="AA51" i="101"/>
  <c r="AI104" i="101"/>
  <c r="C52" i="101"/>
  <c r="S13" i="101"/>
  <c r="AA96" i="101"/>
  <c r="AI8" i="101"/>
  <c r="AA66" i="101"/>
  <c r="AI83" i="101"/>
  <c r="AA38" i="101"/>
  <c r="AI37" i="101"/>
  <c r="AI34" i="101"/>
  <c r="K8" i="101"/>
  <c r="AI66" i="101"/>
  <c r="C38" i="101"/>
  <c r="AI69" i="101"/>
  <c r="S47" i="101"/>
  <c r="AI57" i="101"/>
  <c r="AA30" i="101"/>
  <c r="S105" i="101"/>
  <c r="C81" i="101"/>
  <c r="AA90" i="101"/>
  <c r="S114" i="101"/>
  <c r="S9" i="101"/>
  <c r="K64" i="101"/>
  <c r="C27" i="101"/>
  <c r="C62" i="101"/>
  <c r="AI33" i="101"/>
  <c r="AI102" i="101"/>
  <c r="C11" i="101"/>
  <c r="K16" i="101"/>
  <c r="S46" i="101"/>
  <c r="C112" i="101"/>
  <c r="AA70" i="101"/>
  <c r="K92" i="101"/>
  <c r="S115" i="101"/>
  <c r="AI39" i="101"/>
  <c r="S25" i="101"/>
  <c r="S75" i="101"/>
  <c r="K106" i="101"/>
  <c r="S28" i="101"/>
  <c r="AI110" i="101"/>
  <c r="AA19" i="101"/>
  <c r="AI72" i="101"/>
  <c r="K102" i="101"/>
  <c r="C100" i="101"/>
  <c r="K26" i="101"/>
  <c r="K103" i="101"/>
  <c r="S44" i="101"/>
  <c r="C9" i="101"/>
  <c r="S33" i="101"/>
  <c r="C111" i="101"/>
  <c r="C53" i="101"/>
  <c r="AA39" i="101"/>
  <c r="S36" i="101"/>
  <c r="AA105" i="101"/>
  <c r="S58" i="101"/>
  <c r="S18" i="101"/>
  <c r="AI27" i="101"/>
  <c r="C20" i="101"/>
  <c r="K23" i="101" l="1"/>
  <c r="N42" i="101"/>
  <c r="K50" i="101"/>
  <c r="K89" i="101"/>
  <c r="K116" i="101"/>
  <c r="N51" i="101"/>
  <c r="K59" i="101"/>
  <c r="K80" i="101"/>
  <c r="K32" i="101"/>
  <c r="K98" i="101"/>
  <c r="K68" i="101"/>
  <c r="K77" i="101"/>
  <c r="K14" i="101"/>
  <c r="K41" i="101"/>
  <c r="N33" i="101"/>
  <c r="K107" i="101"/>
  <c r="E35" i="1"/>
  <c r="E3" i="123"/>
  <c r="E4" i="123"/>
  <c r="E5" i="123"/>
  <c r="E6" i="123"/>
  <c r="E7" i="123"/>
  <c r="E8" i="123"/>
  <c r="E9" i="123"/>
  <c r="E10" i="123"/>
  <c r="E11" i="123"/>
  <c r="E12" i="123"/>
  <c r="E13" i="123"/>
  <c r="E14" i="123"/>
  <c r="E15" i="123"/>
  <c r="E16" i="123"/>
  <c r="E17" i="123"/>
  <c r="E18" i="123"/>
  <c r="E19" i="123"/>
  <c r="E20" i="123"/>
  <c r="E21" i="123"/>
  <c r="E22" i="123"/>
  <c r="E23" i="123"/>
  <c r="E24" i="123"/>
  <c r="E25" i="123"/>
  <c r="E26" i="123"/>
  <c r="E27" i="123"/>
  <c r="E28" i="123"/>
  <c r="E29" i="123"/>
  <c r="E30" i="123"/>
  <c r="E31" i="123"/>
  <c r="E32" i="123"/>
  <c r="E33" i="123"/>
  <c r="E34" i="123"/>
  <c r="E35" i="123"/>
  <c r="E36" i="123"/>
  <c r="E37" i="123"/>
  <c r="E38" i="123"/>
  <c r="E39" i="123"/>
  <c r="E40" i="123"/>
  <c r="E41" i="123"/>
  <c r="E42" i="123"/>
  <c r="E43" i="123"/>
  <c r="E44" i="123"/>
  <c r="E45" i="123"/>
  <c r="E46" i="123"/>
  <c r="E47" i="123"/>
  <c r="E48" i="123"/>
  <c r="E49" i="123"/>
  <c r="E50" i="123"/>
  <c r="E51" i="123"/>
  <c r="E52" i="123"/>
  <c r="E53" i="123"/>
  <c r="E54" i="123"/>
  <c r="E55" i="123"/>
  <c r="E56" i="123"/>
  <c r="E57" i="123"/>
  <c r="E58" i="123"/>
  <c r="E59" i="123"/>
  <c r="E60" i="123"/>
  <c r="E61" i="123"/>
  <c r="E62" i="123"/>
  <c r="E63" i="123"/>
  <c r="E64" i="123"/>
  <c r="E65" i="123"/>
  <c r="E66" i="123"/>
  <c r="E67" i="123"/>
  <c r="E68" i="123"/>
  <c r="E69" i="123"/>
  <c r="E70" i="123"/>
  <c r="E71" i="123"/>
  <c r="E72" i="123"/>
  <c r="E73" i="123"/>
  <c r="E74" i="123"/>
  <c r="E75" i="123"/>
  <c r="E76" i="123"/>
  <c r="E77" i="123"/>
  <c r="E78" i="123"/>
  <c r="E79" i="123"/>
  <c r="E80" i="123"/>
  <c r="E81" i="123"/>
  <c r="E82" i="123"/>
  <c r="E83" i="123"/>
  <c r="E84" i="123"/>
  <c r="E85" i="123"/>
  <c r="E86" i="123"/>
  <c r="E87" i="123"/>
  <c r="E88" i="123"/>
  <c r="E89" i="123"/>
  <c r="E90" i="123"/>
  <c r="E91" i="123"/>
  <c r="E92" i="123"/>
  <c r="E93" i="123"/>
  <c r="E94" i="123"/>
  <c r="E95" i="123"/>
  <c r="E96" i="123"/>
  <c r="E97" i="123"/>
  <c r="E98" i="123"/>
  <c r="E99" i="123"/>
  <c r="E100" i="123"/>
  <c r="E101" i="123"/>
  <c r="E102" i="123"/>
  <c r="E103" i="123"/>
  <c r="E104" i="123"/>
  <c r="E105" i="123"/>
  <c r="E106" i="123"/>
  <c r="E107" i="123"/>
  <c r="E108" i="123"/>
  <c r="E109" i="123"/>
  <c r="E110" i="123"/>
  <c r="E111" i="123"/>
  <c r="E112" i="123"/>
  <c r="E113" i="123"/>
  <c r="E114" i="123"/>
  <c r="E115" i="123"/>
  <c r="E116" i="123"/>
  <c r="E117" i="123"/>
  <c r="E118" i="123"/>
  <c r="E119" i="123"/>
  <c r="E120" i="123"/>
  <c r="E121" i="123"/>
  <c r="E122" i="123"/>
  <c r="E123" i="123"/>
  <c r="E124" i="123"/>
  <c r="E125" i="123"/>
  <c r="E126" i="123"/>
  <c r="E127" i="123"/>
  <c r="E128" i="123"/>
  <c r="E129" i="123"/>
  <c r="E130" i="123"/>
  <c r="E131" i="123"/>
  <c r="E132" i="123"/>
  <c r="E133" i="123"/>
  <c r="E134" i="123"/>
  <c r="E135" i="123"/>
  <c r="E136" i="123"/>
  <c r="E137" i="123"/>
  <c r="E138" i="123"/>
  <c r="E139" i="123"/>
  <c r="E140" i="123"/>
  <c r="E141" i="123"/>
  <c r="E142" i="123"/>
  <c r="E143" i="123"/>
  <c r="E144" i="123"/>
  <c r="E145" i="123"/>
  <c r="E146" i="123"/>
  <c r="E147" i="123"/>
  <c r="E148" i="123"/>
  <c r="E149" i="123"/>
  <c r="E150" i="123"/>
  <c r="E151" i="123"/>
  <c r="E152" i="123"/>
  <c r="E153" i="123"/>
  <c r="E154" i="123"/>
  <c r="E155" i="123"/>
  <c r="E156" i="123"/>
  <c r="E157" i="123"/>
  <c r="E158" i="123"/>
  <c r="E159" i="123"/>
  <c r="E160" i="123"/>
  <c r="E161" i="123"/>
  <c r="E162" i="123"/>
  <c r="E163" i="123"/>
  <c r="E164" i="123"/>
  <c r="E165" i="123"/>
  <c r="E166" i="123"/>
  <c r="E167" i="123"/>
  <c r="E168" i="123"/>
  <c r="E169" i="123"/>
  <c r="E170" i="123"/>
  <c r="E171" i="123"/>
  <c r="E172" i="123"/>
  <c r="E173" i="123"/>
  <c r="E174" i="123"/>
  <c r="E175" i="123"/>
  <c r="E176" i="123"/>
  <c r="E177" i="123"/>
  <c r="E178" i="123"/>
  <c r="E179" i="123"/>
  <c r="E180" i="123"/>
  <c r="E181" i="123"/>
  <c r="E182" i="123"/>
  <c r="E183" i="123"/>
  <c r="E184" i="123"/>
  <c r="E185" i="123"/>
  <c r="E186" i="123"/>
  <c r="E187" i="123"/>
  <c r="E188" i="123"/>
  <c r="E189" i="123"/>
  <c r="E190" i="123"/>
  <c r="E191" i="123"/>
  <c r="E192" i="123"/>
  <c r="E193" i="123"/>
  <c r="E194" i="123"/>
  <c r="E195" i="123"/>
  <c r="E196" i="123"/>
  <c r="E197" i="123"/>
  <c r="E198" i="123"/>
  <c r="E199" i="123"/>
  <c r="E200" i="123"/>
  <c r="E201" i="123"/>
  <c r="E202" i="123"/>
  <c r="E203" i="123"/>
  <c r="E204" i="123"/>
  <c r="E205" i="123"/>
  <c r="E206" i="123"/>
  <c r="E207" i="123"/>
  <c r="E208" i="123"/>
  <c r="E209" i="123"/>
  <c r="E210" i="123"/>
  <c r="E211" i="123"/>
  <c r="E212" i="123"/>
  <c r="E213" i="123"/>
  <c r="E214" i="123"/>
  <c r="E215" i="123"/>
  <c r="E216" i="123"/>
  <c r="E217" i="123"/>
  <c r="E218" i="123"/>
  <c r="E219" i="123"/>
  <c r="E220" i="123"/>
  <c r="E221" i="123"/>
  <c r="E222" i="123"/>
  <c r="E223" i="123"/>
  <c r="E224" i="123"/>
  <c r="E225" i="123"/>
  <c r="E226" i="123"/>
  <c r="E227" i="123"/>
  <c r="E228" i="123"/>
  <c r="E229" i="123"/>
  <c r="E230" i="123"/>
  <c r="E231" i="123"/>
  <c r="E232" i="123"/>
  <c r="E233" i="123"/>
  <c r="E234" i="123"/>
  <c r="E235" i="123"/>
  <c r="E236" i="123"/>
  <c r="E237" i="123"/>
  <c r="E238" i="123"/>
  <c r="E239" i="123"/>
  <c r="E240" i="123"/>
  <c r="E241" i="123"/>
  <c r="E242" i="123"/>
  <c r="E243" i="123"/>
  <c r="E244" i="123"/>
  <c r="E245" i="123"/>
  <c r="E246" i="123"/>
  <c r="E247" i="123"/>
  <c r="E248" i="123"/>
  <c r="E249" i="123"/>
  <c r="E250" i="123"/>
  <c r="E251" i="123"/>
  <c r="E252" i="123"/>
  <c r="E253" i="123"/>
  <c r="E254" i="123"/>
  <c r="E255" i="123"/>
  <c r="E256" i="123"/>
  <c r="E257" i="123"/>
  <c r="E258" i="123"/>
  <c r="E259" i="123"/>
  <c r="E260" i="123"/>
  <c r="E261" i="123"/>
  <c r="E262" i="123"/>
  <c r="E263" i="123"/>
  <c r="E264" i="123"/>
  <c r="E265" i="123"/>
  <c r="E266" i="123"/>
  <c r="E267" i="123"/>
  <c r="E268" i="123"/>
  <c r="E269" i="123"/>
  <c r="E270" i="123"/>
  <c r="E271" i="123"/>
  <c r="E272" i="123"/>
  <c r="E273" i="123"/>
  <c r="E274" i="123"/>
  <c r="E275" i="123"/>
  <c r="E276" i="123"/>
  <c r="E277" i="123"/>
  <c r="E278" i="123"/>
  <c r="E279" i="123"/>
  <c r="E280" i="123"/>
  <c r="E281" i="123"/>
  <c r="E282" i="123"/>
  <c r="E283" i="123"/>
  <c r="E284" i="123"/>
  <c r="E285" i="123"/>
  <c r="E286" i="123"/>
  <c r="E287" i="123"/>
  <c r="E288" i="123"/>
  <c r="E2" i="123"/>
  <c r="K117" i="101" l="1"/>
  <c r="G320" i="117"/>
  <c r="E320" i="117"/>
  <c r="H320" i="117" s="1"/>
  <c r="G319" i="117"/>
  <c r="E319" i="117"/>
  <c r="H319" i="117" s="1"/>
  <c r="G318" i="117"/>
  <c r="E318" i="117"/>
  <c r="H318" i="117" s="1"/>
  <c r="G317" i="117"/>
  <c r="E317" i="117"/>
  <c r="H317" i="117" s="1"/>
  <c r="G316" i="117"/>
  <c r="E316" i="117"/>
  <c r="H316" i="117" s="1"/>
  <c r="G315" i="117"/>
  <c r="H315" i="117" s="1"/>
  <c r="E315" i="117"/>
  <c r="H314" i="117"/>
  <c r="G314" i="117"/>
  <c r="E314" i="117"/>
  <c r="G313" i="117"/>
  <c r="E313" i="117"/>
  <c r="H313" i="117" s="1"/>
  <c r="H312" i="117"/>
  <c r="G312" i="117"/>
  <c r="E312" i="117"/>
  <c r="G311" i="117"/>
  <c r="E311" i="117"/>
  <c r="H311" i="117" s="1"/>
  <c r="G310" i="117"/>
  <c r="E310" i="117"/>
  <c r="H310" i="117" s="1"/>
  <c r="G309" i="117"/>
  <c r="E309" i="117"/>
  <c r="H309" i="117" s="1"/>
  <c r="H308" i="117"/>
  <c r="G308" i="117"/>
  <c r="E308" i="117"/>
  <c r="G307" i="117"/>
  <c r="H307" i="117" s="1"/>
  <c r="E307" i="117"/>
  <c r="H306" i="117"/>
  <c r="G306" i="117"/>
  <c r="E306" i="117"/>
  <c r="G305" i="117"/>
  <c r="E305" i="117"/>
  <c r="H305" i="117" s="1"/>
  <c r="H304" i="117"/>
  <c r="G304" i="117"/>
  <c r="E304" i="117"/>
  <c r="G303" i="117"/>
  <c r="H303" i="117" s="1"/>
  <c r="E303" i="117"/>
  <c r="G302" i="117"/>
  <c r="E302" i="117"/>
  <c r="H302" i="117" s="1"/>
  <c r="G301" i="117"/>
  <c r="E301" i="117"/>
  <c r="H301" i="117" s="1"/>
  <c r="H300" i="117"/>
  <c r="G300" i="117"/>
  <c r="E300" i="117"/>
  <c r="G299" i="117"/>
  <c r="H299" i="117" s="1"/>
  <c r="E299" i="117"/>
  <c r="H298" i="117"/>
  <c r="G298" i="117"/>
  <c r="E298" i="117"/>
  <c r="G297" i="117"/>
  <c r="E297" i="117"/>
  <c r="H297" i="117" s="1"/>
  <c r="H296" i="117"/>
  <c r="G296" i="117"/>
  <c r="E296" i="117"/>
  <c r="G295" i="117"/>
  <c r="E295" i="117"/>
  <c r="H295" i="117" s="1"/>
  <c r="G294" i="117"/>
  <c r="E294" i="117"/>
  <c r="H294" i="117" s="1"/>
  <c r="G293" i="117"/>
  <c r="H293" i="117" s="1"/>
  <c r="E293" i="117"/>
  <c r="H292" i="117"/>
  <c r="G292" i="117"/>
  <c r="E292" i="117"/>
  <c r="G291" i="117"/>
  <c r="H291" i="117" s="1"/>
  <c r="E291" i="117"/>
  <c r="H290" i="117"/>
  <c r="G290" i="117"/>
  <c r="E290" i="117"/>
  <c r="G289" i="117"/>
  <c r="E289" i="117"/>
  <c r="H289" i="117" s="1"/>
  <c r="H288" i="117"/>
  <c r="G288" i="117"/>
  <c r="E288" i="117"/>
  <c r="G287" i="117"/>
  <c r="E287" i="117"/>
  <c r="H287" i="117" s="1"/>
  <c r="G286" i="117"/>
  <c r="E286" i="117"/>
  <c r="H286" i="117" s="1"/>
  <c r="G285" i="117"/>
  <c r="E285" i="117"/>
  <c r="H285" i="117" s="1"/>
  <c r="H284" i="117"/>
  <c r="G284" i="117"/>
  <c r="E284" i="117"/>
  <c r="G283" i="117"/>
  <c r="H283" i="117" s="1"/>
  <c r="E283" i="117"/>
  <c r="H282" i="117"/>
  <c r="G282" i="117"/>
  <c r="E282" i="117"/>
  <c r="G281" i="117"/>
  <c r="E281" i="117"/>
  <c r="H281" i="117" s="1"/>
  <c r="H280" i="117"/>
  <c r="G280" i="117"/>
  <c r="E280" i="117"/>
  <c r="G279" i="117"/>
  <c r="E279" i="117"/>
  <c r="H279" i="117" s="1"/>
  <c r="G278" i="117"/>
  <c r="E278" i="117"/>
  <c r="H278" i="117" s="1"/>
  <c r="G277" i="117"/>
  <c r="E277" i="117"/>
  <c r="H277" i="117" s="1"/>
  <c r="H276" i="117"/>
  <c r="G276" i="117"/>
  <c r="E276" i="117"/>
  <c r="G275" i="117"/>
  <c r="H275" i="117" s="1"/>
  <c r="E275" i="117"/>
  <c r="H274" i="117"/>
  <c r="G274" i="117"/>
  <c r="E274" i="117"/>
  <c r="G273" i="117"/>
  <c r="E273" i="117"/>
  <c r="H273" i="117" s="1"/>
  <c r="H272" i="117"/>
  <c r="G272" i="117"/>
  <c r="E272" i="117"/>
  <c r="G271" i="117"/>
  <c r="H271" i="117" s="1"/>
  <c r="E271" i="117"/>
  <c r="G270" i="117"/>
  <c r="E270" i="117"/>
  <c r="H270" i="117" s="1"/>
  <c r="G269" i="117"/>
  <c r="E269" i="117"/>
  <c r="H269" i="117" s="1"/>
  <c r="H268" i="117"/>
  <c r="G268" i="117"/>
  <c r="E268" i="117"/>
  <c r="G267" i="117"/>
  <c r="H267" i="117" s="1"/>
  <c r="E267" i="117"/>
  <c r="H266" i="117"/>
  <c r="G266" i="117"/>
  <c r="E266" i="117"/>
  <c r="G265" i="117"/>
  <c r="E265" i="117"/>
  <c r="H265" i="117" s="1"/>
  <c r="H264" i="117"/>
  <c r="G264" i="117"/>
  <c r="E264" i="117"/>
  <c r="G263" i="117"/>
  <c r="H263" i="117" s="1"/>
  <c r="E263" i="117"/>
  <c r="G262" i="117"/>
  <c r="E262" i="117"/>
  <c r="H262" i="117" s="1"/>
  <c r="G261" i="117"/>
  <c r="E261" i="117"/>
  <c r="H261" i="117" s="1"/>
  <c r="G260" i="117"/>
  <c r="E260" i="117"/>
  <c r="H260" i="117" s="1"/>
  <c r="G259" i="117"/>
  <c r="H259" i="117" s="1"/>
  <c r="E259" i="117"/>
  <c r="H258" i="117"/>
  <c r="G258" i="117"/>
  <c r="E258" i="117"/>
  <c r="G257" i="117"/>
  <c r="E257" i="117"/>
  <c r="H257" i="117" s="1"/>
  <c r="H256" i="117"/>
  <c r="G256" i="117"/>
  <c r="E256" i="117"/>
  <c r="G255" i="117"/>
  <c r="E255" i="117"/>
  <c r="H255" i="117" s="1"/>
  <c r="G254" i="117"/>
  <c r="E254" i="117"/>
  <c r="H254" i="117" s="1"/>
  <c r="G253" i="117"/>
  <c r="E253" i="117"/>
  <c r="H253" i="117" s="1"/>
  <c r="H252" i="117"/>
  <c r="G252" i="117"/>
  <c r="E252" i="117"/>
  <c r="G251" i="117"/>
  <c r="H251" i="117" s="1"/>
  <c r="E251" i="117"/>
  <c r="H250" i="117"/>
  <c r="G250" i="117"/>
  <c r="E250" i="117"/>
  <c r="G249" i="117"/>
  <c r="E249" i="117"/>
  <c r="H249" i="117" s="1"/>
  <c r="H248" i="117"/>
  <c r="G248" i="117"/>
  <c r="E248" i="117"/>
  <c r="G247" i="117"/>
  <c r="E247" i="117"/>
  <c r="H247" i="117" s="1"/>
  <c r="G246" i="117"/>
  <c r="E246" i="117"/>
  <c r="H246" i="117" s="1"/>
  <c r="G245" i="117"/>
  <c r="E245" i="117"/>
  <c r="H245" i="117" s="1"/>
  <c r="H244" i="117"/>
  <c r="G244" i="117"/>
  <c r="E244" i="117"/>
  <c r="G243" i="117"/>
  <c r="H243" i="117" s="1"/>
  <c r="E243" i="117"/>
  <c r="H242" i="117"/>
  <c r="G242" i="117"/>
  <c r="E242" i="117"/>
  <c r="G241" i="117"/>
  <c r="E241" i="117"/>
  <c r="H241" i="117" s="1"/>
  <c r="H240" i="117"/>
  <c r="G240" i="117"/>
  <c r="E240" i="117"/>
  <c r="G239" i="117"/>
  <c r="H239" i="117" s="1"/>
  <c r="E239" i="117"/>
  <c r="G238" i="117"/>
  <c r="E238" i="117"/>
  <c r="H238" i="117" s="1"/>
  <c r="G237" i="117"/>
  <c r="E237" i="117"/>
  <c r="H237" i="117" s="1"/>
  <c r="H236" i="117"/>
  <c r="G236" i="117"/>
  <c r="E236" i="117"/>
  <c r="G235" i="117"/>
  <c r="H235" i="117" s="1"/>
  <c r="E235" i="117"/>
  <c r="H234" i="117"/>
  <c r="G234" i="117"/>
  <c r="E234" i="117"/>
  <c r="G233" i="117"/>
  <c r="E233" i="117"/>
  <c r="H233" i="117" s="1"/>
  <c r="H232" i="117"/>
  <c r="G232" i="117"/>
  <c r="E232" i="117"/>
  <c r="G231" i="117"/>
  <c r="H231" i="117" s="1"/>
  <c r="E231" i="117"/>
  <c r="G230" i="117"/>
  <c r="E230" i="117"/>
  <c r="H230" i="117" s="1"/>
  <c r="G229" i="117"/>
  <c r="E229" i="117"/>
  <c r="H229" i="117" s="1"/>
  <c r="H228" i="117"/>
  <c r="G228" i="117"/>
  <c r="E228" i="117"/>
  <c r="G227" i="117"/>
  <c r="H227" i="117" s="1"/>
  <c r="E227" i="117"/>
  <c r="H226" i="117"/>
  <c r="G226" i="117"/>
  <c r="E226" i="117"/>
  <c r="G225" i="117"/>
  <c r="E225" i="117"/>
  <c r="H225" i="117" s="1"/>
  <c r="H224" i="117"/>
  <c r="G224" i="117"/>
  <c r="E224" i="117"/>
  <c r="G223" i="117"/>
  <c r="H223" i="117" s="1"/>
  <c r="E223" i="117"/>
  <c r="G222" i="117"/>
  <c r="E222" i="117"/>
  <c r="H222" i="117" s="1"/>
  <c r="G221" i="117"/>
  <c r="E221" i="117"/>
  <c r="H221" i="117" s="1"/>
  <c r="H220" i="117"/>
  <c r="G220" i="117"/>
  <c r="E220" i="117"/>
  <c r="G219" i="117"/>
  <c r="H219" i="117" s="1"/>
  <c r="E219" i="117"/>
  <c r="H218" i="117"/>
  <c r="G218" i="117"/>
  <c r="E218" i="117"/>
  <c r="G217" i="117"/>
  <c r="E217" i="117"/>
  <c r="H217" i="117" s="1"/>
  <c r="H216" i="117"/>
  <c r="G216" i="117"/>
  <c r="E216" i="117"/>
  <c r="G215" i="117"/>
  <c r="H215" i="117" s="1"/>
  <c r="E215" i="117"/>
  <c r="G214" i="117"/>
  <c r="E214" i="117"/>
  <c r="H214" i="117" s="1"/>
  <c r="G213" i="117"/>
  <c r="E213" i="117"/>
  <c r="H213" i="117" s="1"/>
  <c r="H212" i="117"/>
  <c r="G212" i="117"/>
  <c r="E212" i="117"/>
  <c r="G211" i="117"/>
  <c r="H211" i="117" s="1"/>
  <c r="E211" i="117"/>
  <c r="H210" i="117"/>
  <c r="G210" i="117"/>
  <c r="E210" i="117"/>
  <c r="G209" i="117"/>
  <c r="E209" i="117"/>
  <c r="H209" i="117" s="1"/>
  <c r="H208" i="117"/>
  <c r="G208" i="117"/>
  <c r="E208" i="117"/>
  <c r="G207" i="117"/>
  <c r="H207" i="117" s="1"/>
  <c r="E207" i="117"/>
  <c r="G206" i="117"/>
  <c r="E206" i="117"/>
  <c r="H206" i="117" s="1"/>
  <c r="G205" i="117"/>
  <c r="E205" i="117"/>
  <c r="H205" i="117" s="1"/>
  <c r="H204" i="117"/>
  <c r="G204" i="117"/>
  <c r="E204" i="117"/>
  <c r="G203" i="117"/>
  <c r="H203" i="117" s="1"/>
  <c r="E203" i="117"/>
  <c r="H202" i="117"/>
  <c r="G202" i="117"/>
  <c r="E202" i="117"/>
  <c r="G201" i="117"/>
  <c r="E201" i="117"/>
  <c r="H201" i="117" s="1"/>
  <c r="H200" i="117"/>
  <c r="G200" i="117"/>
  <c r="E200" i="117"/>
  <c r="G199" i="117"/>
  <c r="H199" i="117" s="1"/>
  <c r="E199" i="117"/>
  <c r="G198" i="117"/>
  <c r="E198" i="117"/>
  <c r="H198" i="117" s="1"/>
  <c r="G197" i="117"/>
  <c r="E197" i="117"/>
  <c r="H197" i="117" s="1"/>
  <c r="H196" i="117"/>
  <c r="G196" i="117"/>
  <c r="E196" i="117"/>
  <c r="G195" i="117"/>
  <c r="H195" i="117" s="1"/>
  <c r="E195" i="117"/>
  <c r="H194" i="117"/>
  <c r="G194" i="117"/>
  <c r="E194" i="117"/>
  <c r="G193" i="117"/>
  <c r="E193" i="117"/>
  <c r="H193" i="117" s="1"/>
  <c r="H192" i="117"/>
  <c r="G192" i="117"/>
  <c r="E192" i="117"/>
  <c r="G191" i="117"/>
  <c r="H191" i="117" s="1"/>
  <c r="E191" i="117"/>
  <c r="G190" i="117"/>
  <c r="E190" i="117"/>
  <c r="H190" i="117" s="1"/>
  <c r="G189" i="117"/>
  <c r="E189" i="117"/>
  <c r="H189" i="117" s="1"/>
  <c r="H188" i="117"/>
  <c r="G188" i="117"/>
  <c r="E188" i="117"/>
  <c r="G187" i="117"/>
  <c r="H187" i="117" s="1"/>
  <c r="E187" i="117"/>
  <c r="H186" i="117"/>
  <c r="G186" i="117"/>
  <c r="E186" i="117"/>
  <c r="G185" i="117"/>
  <c r="E185" i="117"/>
  <c r="H185" i="117" s="1"/>
  <c r="H184" i="117"/>
  <c r="G184" i="117"/>
  <c r="E184" i="117"/>
  <c r="G183" i="117"/>
  <c r="H183" i="117" s="1"/>
  <c r="E183" i="117"/>
  <c r="G182" i="117"/>
  <c r="E182" i="117"/>
  <c r="H182" i="117" s="1"/>
  <c r="G181" i="117"/>
  <c r="E181" i="117"/>
  <c r="H181" i="117" s="1"/>
  <c r="H180" i="117"/>
  <c r="G180" i="117"/>
  <c r="E180" i="117"/>
  <c r="G179" i="117"/>
  <c r="H179" i="117" s="1"/>
  <c r="E179" i="117"/>
  <c r="H178" i="117"/>
  <c r="G178" i="117"/>
  <c r="E178" i="117"/>
  <c r="G177" i="117"/>
  <c r="E177" i="117"/>
  <c r="H177" i="117" s="1"/>
  <c r="H176" i="117"/>
  <c r="G176" i="117"/>
  <c r="E176" i="117"/>
  <c r="G175" i="117"/>
  <c r="H175" i="117" s="1"/>
  <c r="E175" i="117"/>
  <c r="G174" i="117"/>
  <c r="E174" i="117"/>
  <c r="H174" i="117" s="1"/>
  <c r="G173" i="117"/>
  <c r="E173" i="117"/>
  <c r="H173" i="117" s="1"/>
  <c r="H172" i="117"/>
  <c r="G172" i="117"/>
  <c r="E172" i="117"/>
  <c r="G171" i="117"/>
  <c r="H171" i="117" s="1"/>
  <c r="E171" i="117"/>
  <c r="H170" i="117"/>
  <c r="G170" i="117"/>
  <c r="E170" i="117"/>
  <c r="G169" i="117"/>
  <c r="E169" i="117"/>
  <c r="H169" i="117" s="1"/>
  <c r="H168" i="117"/>
  <c r="G168" i="117"/>
  <c r="E168" i="117"/>
  <c r="G167" i="117"/>
  <c r="H167" i="117" s="1"/>
  <c r="E167" i="117"/>
  <c r="G166" i="117"/>
  <c r="E166" i="117"/>
  <c r="H166" i="117" s="1"/>
  <c r="G165" i="117"/>
  <c r="E165" i="117"/>
  <c r="H165" i="117" s="1"/>
  <c r="H164" i="117"/>
  <c r="G164" i="117"/>
  <c r="E164" i="117"/>
  <c r="G163" i="117"/>
  <c r="H163" i="117" s="1"/>
  <c r="E163" i="117"/>
  <c r="H162" i="117"/>
  <c r="G162" i="117"/>
  <c r="E162" i="117"/>
  <c r="G161" i="117"/>
  <c r="E161" i="117"/>
  <c r="H161" i="117" s="1"/>
  <c r="H160" i="117"/>
  <c r="G160" i="117"/>
  <c r="E160" i="117"/>
  <c r="G159" i="117"/>
  <c r="H159" i="117" s="1"/>
  <c r="E159" i="117"/>
  <c r="G158" i="117"/>
  <c r="E158" i="117"/>
  <c r="H158" i="117" s="1"/>
  <c r="G157" i="117"/>
  <c r="E157" i="117"/>
  <c r="H157" i="117" s="1"/>
  <c r="H156" i="117"/>
  <c r="G156" i="117"/>
  <c r="E156" i="117"/>
  <c r="G155" i="117"/>
  <c r="H155" i="117" s="1"/>
  <c r="E155" i="117"/>
  <c r="H154" i="117"/>
  <c r="G154" i="117"/>
  <c r="E154" i="117"/>
  <c r="G153" i="117"/>
  <c r="E153" i="117"/>
  <c r="H153" i="117" s="1"/>
  <c r="H152" i="117"/>
  <c r="G152" i="117"/>
  <c r="E152" i="117"/>
  <c r="G151" i="117"/>
  <c r="H151" i="117" s="1"/>
  <c r="E151" i="117"/>
  <c r="G150" i="117"/>
  <c r="E150" i="117"/>
  <c r="H150" i="117" s="1"/>
  <c r="G149" i="117"/>
  <c r="E149" i="117"/>
  <c r="H149" i="117" s="1"/>
  <c r="H148" i="117"/>
  <c r="G148" i="117"/>
  <c r="E148" i="117"/>
  <c r="G147" i="117"/>
  <c r="H147" i="117" s="1"/>
  <c r="E147" i="117"/>
  <c r="H146" i="117"/>
  <c r="G146" i="117"/>
  <c r="E146" i="117"/>
  <c r="G145" i="117"/>
  <c r="E145" i="117"/>
  <c r="H145" i="117" s="1"/>
  <c r="H144" i="117"/>
  <c r="G144" i="117"/>
  <c r="E144" i="117"/>
  <c r="G143" i="117"/>
  <c r="H143" i="117" s="1"/>
  <c r="E143" i="117"/>
  <c r="G142" i="117"/>
  <c r="E142" i="117"/>
  <c r="H142" i="117" s="1"/>
  <c r="G141" i="117"/>
  <c r="E141" i="117"/>
  <c r="H141" i="117" s="1"/>
  <c r="H140" i="117"/>
  <c r="G140" i="117"/>
  <c r="E140" i="117"/>
  <c r="G139" i="117"/>
  <c r="H139" i="117" s="1"/>
  <c r="E139" i="117"/>
  <c r="H138" i="117"/>
  <c r="G138" i="117"/>
  <c r="E138" i="117"/>
  <c r="G137" i="117"/>
  <c r="E137" i="117"/>
  <c r="H137" i="117" s="1"/>
  <c r="H136" i="117"/>
  <c r="G136" i="117"/>
  <c r="E136" i="117"/>
  <c r="G135" i="117"/>
  <c r="H135" i="117" s="1"/>
  <c r="E135" i="117"/>
  <c r="G134" i="117"/>
  <c r="E134" i="117"/>
  <c r="H134" i="117" s="1"/>
  <c r="G133" i="117"/>
  <c r="E133" i="117"/>
  <c r="H133" i="117" s="1"/>
  <c r="H132" i="117"/>
  <c r="G132" i="117"/>
  <c r="E132" i="117"/>
  <c r="G131" i="117"/>
  <c r="H131" i="117" s="1"/>
  <c r="E131" i="117"/>
  <c r="H130" i="117"/>
  <c r="G130" i="117"/>
  <c r="E130" i="117"/>
  <c r="G129" i="117"/>
  <c r="E129" i="117"/>
  <c r="H129" i="117" s="1"/>
  <c r="H128" i="117"/>
  <c r="G128" i="117"/>
  <c r="E128" i="117"/>
  <c r="G127" i="117"/>
  <c r="H127" i="117" s="1"/>
  <c r="E127" i="117"/>
  <c r="G126" i="117"/>
  <c r="E126" i="117"/>
  <c r="H126" i="117" s="1"/>
  <c r="G125" i="117"/>
  <c r="E125" i="117"/>
  <c r="H125" i="117" s="1"/>
  <c r="H124" i="117"/>
  <c r="G124" i="117"/>
  <c r="E124" i="117"/>
  <c r="G123" i="117"/>
  <c r="H123" i="117" s="1"/>
  <c r="E123" i="117"/>
  <c r="H122" i="117"/>
  <c r="G122" i="117"/>
  <c r="E122" i="117"/>
  <c r="G121" i="117"/>
  <c r="E121" i="117"/>
  <c r="H121" i="117" s="1"/>
  <c r="H120" i="117"/>
  <c r="G120" i="117"/>
  <c r="E120" i="117"/>
  <c r="G119" i="117"/>
  <c r="H119" i="117" s="1"/>
  <c r="E119" i="117"/>
  <c r="G118" i="117"/>
  <c r="E118" i="117"/>
  <c r="H118" i="117" s="1"/>
  <c r="G117" i="117"/>
  <c r="E117" i="117"/>
  <c r="H117" i="117" s="1"/>
  <c r="H116" i="117"/>
  <c r="G116" i="117"/>
  <c r="E116" i="117"/>
  <c r="G115" i="117"/>
  <c r="H115" i="117" s="1"/>
  <c r="E115" i="117"/>
  <c r="H114" i="117"/>
  <c r="G114" i="117"/>
  <c r="E114" i="117"/>
  <c r="G113" i="117"/>
  <c r="E113" i="117"/>
  <c r="H113" i="117" s="1"/>
  <c r="H112" i="117"/>
  <c r="G112" i="117"/>
  <c r="E112" i="117"/>
  <c r="G111" i="117"/>
  <c r="H111" i="117" s="1"/>
  <c r="E111" i="117"/>
  <c r="G110" i="117"/>
  <c r="E110" i="117"/>
  <c r="H110" i="117" s="1"/>
  <c r="G109" i="117"/>
  <c r="E109" i="117"/>
  <c r="H109" i="117" s="1"/>
  <c r="H108" i="117"/>
  <c r="G108" i="117"/>
  <c r="E108" i="117"/>
  <c r="G107" i="117"/>
  <c r="H107" i="117" s="1"/>
  <c r="E107" i="117"/>
  <c r="H106" i="117"/>
  <c r="G106" i="117"/>
  <c r="E106" i="117"/>
  <c r="G105" i="117"/>
  <c r="E105" i="117"/>
  <c r="H105" i="117" s="1"/>
  <c r="G104" i="117"/>
  <c r="E104" i="117"/>
  <c r="H103" i="117"/>
  <c r="G103" i="117"/>
  <c r="E103" i="117"/>
  <c r="G102" i="117"/>
  <c r="E102" i="117"/>
  <c r="H102" i="117" s="1"/>
  <c r="H101" i="117"/>
  <c r="G101" i="117"/>
  <c r="E101" i="117"/>
  <c r="G100" i="117"/>
  <c r="H100" i="117" s="1"/>
  <c r="E100" i="117"/>
  <c r="G99" i="117"/>
  <c r="E99" i="117"/>
  <c r="H99" i="117" s="1"/>
  <c r="G98" i="117"/>
  <c r="E98" i="117"/>
  <c r="H98" i="117" s="1"/>
  <c r="H97" i="117"/>
  <c r="G97" i="117"/>
  <c r="E97" i="117"/>
  <c r="G96" i="117"/>
  <c r="H96" i="117" s="1"/>
  <c r="E96" i="117"/>
  <c r="H95" i="117"/>
  <c r="G95" i="117"/>
  <c r="E95" i="117"/>
  <c r="G94" i="117"/>
  <c r="E94" i="117"/>
  <c r="H94" i="117" s="1"/>
  <c r="H93" i="117"/>
  <c r="G93" i="117"/>
  <c r="E93" i="117"/>
  <c r="H92" i="117"/>
  <c r="G92" i="117"/>
  <c r="E92" i="117"/>
  <c r="G91" i="117"/>
  <c r="E91" i="117"/>
  <c r="H91" i="117" s="1"/>
  <c r="G90" i="117"/>
  <c r="E90" i="117"/>
  <c r="H90" i="117" s="1"/>
  <c r="H89" i="117"/>
  <c r="G89" i="117"/>
  <c r="E89" i="117"/>
  <c r="G88" i="117"/>
  <c r="H88" i="117" s="1"/>
  <c r="E88" i="117"/>
  <c r="H87" i="117"/>
  <c r="G87" i="117"/>
  <c r="E87" i="117"/>
  <c r="G86" i="117"/>
  <c r="E86" i="117"/>
  <c r="H86" i="117" s="1"/>
  <c r="H85" i="117"/>
  <c r="G85" i="117"/>
  <c r="E85" i="117"/>
  <c r="H84" i="117"/>
  <c r="G84" i="117"/>
  <c r="E84" i="117"/>
  <c r="G83" i="117"/>
  <c r="E83" i="117"/>
  <c r="H83" i="117" s="1"/>
  <c r="G82" i="117"/>
  <c r="E82" i="117"/>
  <c r="H82" i="117" s="1"/>
  <c r="H81" i="117"/>
  <c r="G81" i="117"/>
  <c r="E81" i="117"/>
  <c r="G80" i="117"/>
  <c r="H80" i="117" s="1"/>
  <c r="E80" i="117"/>
  <c r="H79" i="117"/>
  <c r="G79" i="117"/>
  <c r="E79" i="117"/>
  <c r="G78" i="117"/>
  <c r="E78" i="117"/>
  <c r="H78" i="117" s="1"/>
  <c r="H77" i="117"/>
  <c r="G77" i="117"/>
  <c r="E77" i="117"/>
  <c r="H76" i="117"/>
  <c r="G76" i="117"/>
  <c r="E76" i="117"/>
  <c r="G75" i="117"/>
  <c r="E75" i="117"/>
  <c r="H75" i="117" s="1"/>
  <c r="G74" i="117"/>
  <c r="E74" i="117"/>
  <c r="H74" i="117" s="1"/>
  <c r="H73" i="117"/>
  <c r="G73" i="117"/>
  <c r="E73" i="117"/>
  <c r="G72" i="117"/>
  <c r="H72" i="117" s="1"/>
  <c r="E72" i="117"/>
  <c r="H71" i="117"/>
  <c r="G71" i="117"/>
  <c r="E71" i="117"/>
  <c r="G70" i="117"/>
  <c r="E70" i="117"/>
  <c r="H70" i="117" s="1"/>
  <c r="H69" i="117"/>
  <c r="G69" i="117"/>
  <c r="E69" i="117"/>
  <c r="H68" i="117"/>
  <c r="G68" i="117"/>
  <c r="E68" i="117"/>
  <c r="G67" i="117"/>
  <c r="E67" i="117"/>
  <c r="H67" i="117" s="1"/>
  <c r="G66" i="117"/>
  <c r="E66" i="117"/>
  <c r="H66" i="117" s="1"/>
  <c r="H65" i="117"/>
  <c r="G65" i="117"/>
  <c r="E65" i="117"/>
  <c r="G64" i="117"/>
  <c r="H64" i="117" s="1"/>
  <c r="E64" i="117"/>
  <c r="H63" i="117"/>
  <c r="G63" i="117"/>
  <c r="E63" i="117"/>
  <c r="G62" i="117"/>
  <c r="E62" i="117"/>
  <c r="H62" i="117" s="1"/>
  <c r="H61" i="117"/>
  <c r="G61" i="117"/>
  <c r="E61" i="117"/>
  <c r="H60" i="117"/>
  <c r="G60" i="117"/>
  <c r="E60" i="117"/>
  <c r="G59" i="117"/>
  <c r="E59" i="117"/>
  <c r="H59" i="117" s="1"/>
  <c r="G58" i="117"/>
  <c r="E58" i="117"/>
  <c r="H58" i="117" s="1"/>
  <c r="H57" i="117"/>
  <c r="G57" i="117"/>
  <c r="E57" i="117"/>
  <c r="G56" i="117"/>
  <c r="H56" i="117" s="1"/>
  <c r="E56" i="117"/>
  <c r="H55" i="117"/>
  <c r="G55" i="117"/>
  <c r="E55" i="117"/>
  <c r="G54" i="117"/>
  <c r="E54" i="117"/>
  <c r="H54" i="117" s="1"/>
  <c r="H53" i="117"/>
  <c r="G53" i="117"/>
  <c r="E53" i="117"/>
  <c r="H52" i="117"/>
  <c r="G52" i="117"/>
  <c r="E52" i="117"/>
  <c r="G51" i="117"/>
  <c r="E51" i="117"/>
  <c r="H51" i="117" s="1"/>
  <c r="G50" i="117"/>
  <c r="E50" i="117"/>
  <c r="H50" i="117" s="1"/>
  <c r="H49" i="117"/>
  <c r="G49" i="117"/>
  <c r="E49" i="117"/>
  <c r="G48" i="117"/>
  <c r="H48" i="117" s="1"/>
  <c r="E48" i="117"/>
  <c r="H47" i="117"/>
  <c r="G47" i="117"/>
  <c r="E47" i="117"/>
  <c r="G46" i="117"/>
  <c r="E46" i="117"/>
  <c r="H46" i="117" s="1"/>
  <c r="H45" i="117"/>
  <c r="G45" i="117"/>
  <c r="E45" i="117"/>
  <c r="H44" i="117"/>
  <c r="G44" i="117"/>
  <c r="E44" i="117"/>
  <c r="G43" i="117"/>
  <c r="E43" i="117"/>
  <c r="H43" i="117" s="1"/>
  <c r="G42" i="117"/>
  <c r="E42" i="117"/>
  <c r="H42" i="117" s="1"/>
  <c r="H41" i="117"/>
  <c r="G41" i="117"/>
  <c r="E41" i="117"/>
  <c r="G40" i="117"/>
  <c r="H40" i="117" s="1"/>
  <c r="E40" i="117"/>
  <c r="H39" i="117"/>
  <c r="G39" i="117"/>
  <c r="E39" i="117"/>
  <c r="G38" i="117"/>
  <c r="E38" i="117"/>
  <c r="H38" i="117" s="1"/>
  <c r="H37" i="117"/>
  <c r="G37" i="117"/>
  <c r="E37" i="117"/>
  <c r="H36" i="117"/>
  <c r="G36" i="117"/>
  <c r="E36" i="117"/>
  <c r="G35" i="117"/>
  <c r="E35" i="117"/>
  <c r="H35" i="117" s="1"/>
  <c r="G34" i="117"/>
  <c r="E34" i="117"/>
  <c r="H34" i="117" s="1"/>
  <c r="H33" i="117"/>
  <c r="G33" i="117"/>
  <c r="E33" i="117"/>
  <c r="G32" i="117"/>
  <c r="H32" i="117" s="1"/>
  <c r="E32" i="117"/>
  <c r="H31" i="117"/>
  <c r="G31" i="117"/>
  <c r="E31" i="117"/>
  <c r="G30" i="117"/>
  <c r="E30" i="117"/>
  <c r="H30" i="117" s="1"/>
  <c r="H29" i="117"/>
  <c r="G29" i="117"/>
  <c r="E29" i="117"/>
  <c r="H28" i="117"/>
  <c r="G28" i="117"/>
  <c r="E28" i="117"/>
  <c r="G27" i="117"/>
  <c r="E27" i="117"/>
  <c r="H27" i="117" s="1"/>
  <c r="G26" i="117"/>
  <c r="E26" i="117"/>
  <c r="H26" i="117" s="1"/>
  <c r="H25" i="117"/>
  <c r="G25" i="117"/>
  <c r="E25" i="117"/>
  <c r="G24" i="117"/>
  <c r="H24" i="117" s="1"/>
  <c r="E24" i="117"/>
  <c r="H23" i="117"/>
  <c r="G23" i="117"/>
  <c r="E23" i="117"/>
  <c r="G22" i="117"/>
  <c r="E22" i="117"/>
  <c r="H22" i="117" s="1"/>
  <c r="H21" i="117"/>
  <c r="G21" i="117"/>
  <c r="E21" i="117"/>
  <c r="H20" i="117"/>
  <c r="G20" i="117"/>
  <c r="E20" i="117"/>
  <c r="G19" i="117"/>
  <c r="E19" i="117"/>
  <c r="H19" i="117" s="1"/>
  <c r="G18" i="117"/>
  <c r="E18" i="117"/>
  <c r="H18" i="117" s="1"/>
  <c r="H17" i="117"/>
  <c r="G17" i="117"/>
  <c r="E17" i="117"/>
  <c r="G16" i="117"/>
  <c r="H16" i="117" s="1"/>
  <c r="E16" i="117"/>
  <c r="H15" i="117"/>
  <c r="G15" i="117"/>
  <c r="E15" i="117"/>
  <c r="G14" i="117"/>
  <c r="E14" i="117"/>
  <c r="H14" i="117" s="1"/>
  <c r="H13" i="117"/>
  <c r="G13" i="117"/>
  <c r="E13" i="117"/>
  <c r="H12" i="117"/>
  <c r="G12" i="117"/>
  <c r="E12" i="117"/>
  <c r="G11" i="117"/>
  <c r="E11" i="117"/>
  <c r="H11" i="117" s="1"/>
  <c r="G10" i="117"/>
  <c r="E10" i="117"/>
  <c r="H10" i="117" s="1"/>
  <c r="H9" i="117"/>
  <c r="G9" i="117"/>
  <c r="E9" i="117"/>
  <c r="G8" i="117"/>
  <c r="H8" i="117" s="1"/>
  <c r="E8" i="117"/>
  <c r="H7" i="117"/>
  <c r="G7" i="117"/>
  <c r="E7" i="117"/>
  <c r="G6" i="117"/>
  <c r="E6" i="117"/>
  <c r="H6" i="117" s="1"/>
  <c r="H5" i="117"/>
  <c r="G5" i="117"/>
  <c r="E5" i="117"/>
  <c r="H4" i="117"/>
  <c r="G4" i="117"/>
  <c r="E4" i="117"/>
  <c r="G3" i="117"/>
  <c r="E3" i="117"/>
  <c r="H3" i="117" s="1"/>
  <c r="G2" i="117"/>
  <c r="E2" i="117"/>
  <c r="H2" i="117" s="1"/>
  <c r="E3" i="115" l="1"/>
  <c r="E4" i="115"/>
  <c r="E5" i="115"/>
  <c r="E6" i="115"/>
  <c r="E7" i="115"/>
  <c r="E8" i="115"/>
  <c r="E9" i="115"/>
  <c r="E10" i="115"/>
  <c r="E11" i="115"/>
  <c r="E12" i="115"/>
  <c r="E13" i="115"/>
  <c r="E14" i="115"/>
  <c r="E15" i="115"/>
  <c r="E16" i="115"/>
  <c r="E17" i="115"/>
  <c r="E18" i="115"/>
  <c r="E19" i="115"/>
  <c r="E20" i="115"/>
  <c r="E21" i="115"/>
  <c r="E22" i="115"/>
  <c r="E23" i="115"/>
  <c r="E24" i="115"/>
  <c r="E25" i="115"/>
  <c r="E26" i="115"/>
  <c r="E27" i="115"/>
  <c r="E28" i="115"/>
  <c r="E29" i="115"/>
  <c r="E30" i="115"/>
  <c r="E31" i="115"/>
  <c r="E32" i="115"/>
  <c r="E33" i="115"/>
  <c r="E34" i="115"/>
  <c r="E35" i="115"/>
  <c r="E36" i="115"/>
  <c r="E37" i="115"/>
  <c r="E38" i="115"/>
  <c r="E39" i="115"/>
  <c r="E40" i="115"/>
  <c r="E41" i="115"/>
  <c r="E42" i="115"/>
  <c r="E43" i="115"/>
  <c r="E44" i="115"/>
  <c r="E45" i="115"/>
  <c r="E46" i="115"/>
  <c r="E47" i="115"/>
  <c r="E48" i="115"/>
  <c r="E49" i="115"/>
  <c r="E50" i="115"/>
  <c r="E51" i="115"/>
  <c r="E52" i="115"/>
  <c r="E53" i="115"/>
  <c r="E54" i="115"/>
  <c r="E55" i="115"/>
  <c r="E56" i="115"/>
  <c r="E57" i="115"/>
  <c r="E58" i="115"/>
  <c r="E59" i="115"/>
  <c r="E60" i="115"/>
  <c r="E61" i="115"/>
  <c r="E62" i="115"/>
  <c r="E63" i="115"/>
  <c r="E64" i="115"/>
  <c r="E65" i="115"/>
  <c r="E66" i="115"/>
  <c r="E67" i="115"/>
  <c r="E68" i="115"/>
  <c r="E69" i="115"/>
  <c r="E70" i="115"/>
  <c r="E71" i="115"/>
  <c r="E72" i="115"/>
  <c r="E73" i="115"/>
  <c r="E74" i="115"/>
  <c r="E75" i="115"/>
  <c r="E76" i="115"/>
  <c r="E77" i="115"/>
  <c r="E78" i="115"/>
  <c r="E79" i="115"/>
  <c r="E80" i="115"/>
  <c r="E81" i="115"/>
  <c r="E82" i="115"/>
  <c r="E83" i="115"/>
  <c r="E84" i="115"/>
  <c r="E85" i="115"/>
  <c r="E86" i="115"/>
  <c r="E87" i="115"/>
  <c r="E88" i="115"/>
  <c r="E89" i="115"/>
  <c r="E90" i="115"/>
  <c r="E91" i="115"/>
  <c r="E92" i="115"/>
  <c r="E93" i="115"/>
  <c r="E94" i="115"/>
  <c r="E95" i="115"/>
  <c r="E96" i="115"/>
  <c r="E97" i="115"/>
  <c r="E98" i="115"/>
  <c r="E99" i="115"/>
  <c r="E100" i="115"/>
  <c r="E101" i="115"/>
  <c r="E102" i="115"/>
  <c r="E103" i="115"/>
  <c r="E104" i="115"/>
  <c r="E105" i="115"/>
  <c r="E106" i="115"/>
  <c r="E107" i="115"/>
  <c r="E108" i="115"/>
  <c r="E109" i="115"/>
  <c r="E110" i="115"/>
  <c r="E111" i="115"/>
  <c r="E112" i="115"/>
  <c r="E113" i="115"/>
  <c r="E114" i="115"/>
  <c r="E115" i="115"/>
  <c r="E116" i="115"/>
  <c r="E117" i="115"/>
  <c r="E118" i="115"/>
  <c r="E119" i="115"/>
  <c r="E120" i="115"/>
  <c r="E121" i="115"/>
  <c r="E122" i="115"/>
  <c r="E123" i="115"/>
  <c r="E124" i="115"/>
  <c r="E125" i="115"/>
  <c r="E126" i="115"/>
  <c r="E127" i="115"/>
  <c r="E128" i="115"/>
  <c r="E129" i="115"/>
  <c r="E130" i="115"/>
  <c r="E131" i="115"/>
  <c r="E132" i="115"/>
  <c r="E133" i="115"/>
  <c r="E134" i="115"/>
  <c r="E135" i="115"/>
  <c r="E136" i="115"/>
  <c r="E137" i="115"/>
  <c r="E138" i="115"/>
  <c r="E139" i="115"/>
  <c r="E140" i="115"/>
  <c r="E141" i="115"/>
  <c r="E142" i="115"/>
  <c r="E143" i="115"/>
  <c r="E144" i="115"/>
  <c r="E145" i="115"/>
  <c r="E146" i="115"/>
  <c r="E147" i="115"/>
  <c r="E148" i="115"/>
  <c r="E149" i="115"/>
  <c r="E150" i="115"/>
  <c r="E151" i="115"/>
  <c r="E152" i="115"/>
  <c r="E153" i="115"/>
  <c r="E154" i="115"/>
  <c r="E155" i="115"/>
  <c r="E156" i="115"/>
  <c r="E157" i="115"/>
  <c r="E158" i="115"/>
  <c r="E159" i="115"/>
  <c r="E160" i="115"/>
  <c r="E161" i="115"/>
  <c r="E162" i="115"/>
  <c r="E163" i="115"/>
  <c r="E164" i="115"/>
  <c r="E165" i="115"/>
  <c r="E166" i="115"/>
  <c r="E167" i="115"/>
  <c r="E168" i="115"/>
  <c r="E169" i="115"/>
  <c r="E170" i="115"/>
  <c r="E171" i="115"/>
  <c r="E172" i="115"/>
  <c r="E173" i="115"/>
  <c r="E174" i="115"/>
  <c r="E175" i="115"/>
  <c r="E176" i="115"/>
  <c r="E177" i="115"/>
  <c r="E178" i="115"/>
  <c r="E179" i="115"/>
  <c r="E180" i="115"/>
  <c r="E181" i="115"/>
  <c r="E182" i="115"/>
  <c r="E183" i="115"/>
  <c r="E184" i="115"/>
  <c r="E185" i="115"/>
  <c r="E186" i="115"/>
  <c r="E187" i="115"/>
  <c r="E188" i="115"/>
  <c r="E189" i="115"/>
  <c r="E190" i="115"/>
  <c r="E191" i="115"/>
  <c r="E192" i="115"/>
  <c r="E193" i="115"/>
  <c r="E194" i="115"/>
  <c r="E195" i="115"/>
  <c r="E196" i="115"/>
  <c r="E197" i="115"/>
  <c r="E198" i="115"/>
  <c r="E199" i="115"/>
  <c r="E200" i="115"/>
  <c r="E201" i="115"/>
  <c r="E202" i="115"/>
  <c r="E203" i="115"/>
  <c r="E204" i="115"/>
  <c r="E205" i="115"/>
  <c r="E206" i="115"/>
  <c r="E207" i="115"/>
  <c r="E208" i="115"/>
  <c r="E209" i="115"/>
  <c r="E210" i="115"/>
  <c r="E211" i="115"/>
  <c r="E212" i="115"/>
  <c r="E213" i="115"/>
  <c r="E214" i="115"/>
  <c r="E215" i="115"/>
  <c r="E216" i="115"/>
  <c r="E217" i="115"/>
  <c r="E218" i="115"/>
  <c r="E219" i="115"/>
  <c r="E220" i="115"/>
  <c r="E221" i="115"/>
  <c r="E222" i="115"/>
  <c r="E223" i="115"/>
  <c r="E224" i="115"/>
  <c r="E225" i="115"/>
  <c r="E226" i="115"/>
  <c r="E227" i="115"/>
  <c r="E228" i="115"/>
  <c r="E229" i="115"/>
  <c r="E230" i="115"/>
  <c r="E231" i="115"/>
  <c r="E232" i="115"/>
  <c r="E233" i="115"/>
  <c r="E234" i="115"/>
  <c r="E235" i="115"/>
  <c r="E236" i="115"/>
  <c r="E237" i="115"/>
  <c r="E238" i="115"/>
  <c r="E239" i="115"/>
  <c r="E240" i="115"/>
  <c r="E241" i="115"/>
  <c r="E242" i="115"/>
  <c r="E243" i="115"/>
  <c r="E244" i="115"/>
  <c r="E245" i="115"/>
  <c r="E246" i="115"/>
  <c r="E247" i="115"/>
  <c r="E248" i="115"/>
  <c r="E249" i="115"/>
  <c r="E250" i="115"/>
  <c r="E251" i="115"/>
  <c r="E252" i="115"/>
  <c r="E253" i="115"/>
  <c r="E254" i="115"/>
  <c r="E255" i="115"/>
  <c r="E256" i="115"/>
  <c r="E257" i="115"/>
  <c r="E258" i="115"/>
  <c r="E259" i="115"/>
  <c r="E260" i="115"/>
  <c r="E261" i="115"/>
  <c r="E262" i="115"/>
  <c r="E263" i="115"/>
  <c r="E264" i="115"/>
  <c r="E265" i="115"/>
  <c r="E266" i="115"/>
  <c r="E267" i="115"/>
  <c r="E268" i="115"/>
  <c r="E269" i="115"/>
  <c r="E270" i="115"/>
  <c r="E271" i="115"/>
  <c r="E272" i="115"/>
  <c r="E273" i="115"/>
  <c r="E274" i="115"/>
  <c r="E275" i="115"/>
  <c r="E276" i="115"/>
  <c r="E277" i="115"/>
  <c r="E278" i="115"/>
  <c r="E279" i="115"/>
  <c r="E280" i="115"/>
  <c r="E281" i="115"/>
  <c r="E282" i="115"/>
  <c r="E283" i="115"/>
  <c r="E284" i="115"/>
  <c r="E285" i="115"/>
  <c r="E286" i="115"/>
  <c r="E287" i="115"/>
  <c r="E288" i="115"/>
  <c r="E2" i="115"/>
  <c r="D38" i="1" l="1"/>
  <c r="D49" i="1" s="1"/>
  <c r="E12" i="1" l="1"/>
  <c r="AJ116" i="101"/>
  <c r="AB116" i="101"/>
  <c r="T116" i="101"/>
  <c r="AJ32" i="101"/>
  <c r="AB32" i="101"/>
  <c r="T32" i="101"/>
  <c r="D32" i="101"/>
  <c r="AJ77" i="101"/>
  <c r="AB77" i="101"/>
  <c r="T77" i="101"/>
  <c r="D77" i="101"/>
  <c r="AA32" i="101" l="1"/>
  <c r="AI116" i="101"/>
  <c r="AA116" i="101"/>
  <c r="S116" i="101"/>
  <c r="C32" i="101"/>
  <c r="S32" i="101"/>
  <c r="AI32" i="101"/>
  <c r="C77" i="101"/>
  <c r="AA77" i="101"/>
  <c r="AI77" i="101"/>
  <c r="S77" i="101"/>
  <c r="E71" i="105" l="1"/>
  <c r="E3" i="105"/>
  <c r="E4" i="105"/>
  <c r="E5" i="105"/>
  <c r="E6" i="105"/>
  <c r="E7" i="105"/>
  <c r="E8" i="105"/>
  <c r="E9" i="105"/>
  <c r="E10" i="105"/>
  <c r="E11" i="105"/>
  <c r="E12" i="105"/>
  <c r="E13" i="105"/>
  <c r="E14" i="105"/>
  <c r="E15" i="105"/>
  <c r="E16" i="105"/>
  <c r="E17" i="105"/>
  <c r="E18" i="105"/>
  <c r="E19" i="105"/>
  <c r="E20" i="105"/>
  <c r="E21" i="105"/>
  <c r="E22" i="105"/>
  <c r="E23" i="105"/>
  <c r="E24" i="105"/>
  <c r="E25" i="105"/>
  <c r="E26" i="105"/>
  <c r="E27" i="105"/>
  <c r="E28" i="105"/>
  <c r="E29" i="105"/>
  <c r="E30" i="105"/>
  <c r="E31" i="105"/>
  <c r="E32" i="105"/>
  <c r="E33" i="105"/>
  <c r="E34" i="105"/>
  <c r="E35" i="105"/>
  <c r="E36" i="105"/>
  <c r="E37" i="105"/>
  <c r="E38" i="105"/>
  <c r="E39" i="105"/>
  <c r="E40" i="105"/>
  <c r="E41" i="105"/>
  <c r="E42" i="105"/>
  <c r="E43" i="105"/>
  <c r="E44" i="105"/>
  <c r="E45" i="105"/>
  <c r="E46" i="105"/>
  <c r="E47" i="105"/>
  <c r="E48" i="105"/>
  <c r="E49" i="105"/>
  <c r="E50" i="105"/>
  <c r="E51" i="105"/>
  <c r="E52" i="105"/>
  <c r="E53" i="105"/>
  <c r="E54" i="105"/>
  <c r="E55" i="105"/>
  <c r="E56" i="105"/>
  <c r="E57" i="105"/>
  <c r="E58" i="105"/>
  <c r="E59" i="105"/>
  <c r="E60" i="105"/>
  <c r="E61" i="105"/>
  <c r="E62" i="105"/>
  <c r="E63" i="105"/>
  <c r="E64" i="105"/>
  <c r="E65" i="105"/>
  <c r="E66" i="105"/>
  <c r="E67" i="105"/>
  <c r="E68" i="105"/>
  <c r="E69" i="105"/>
  <c r="E70" i="105"/>
  <c r="E72" i="105"/>
  <c r="E73" i="105"/>
  <c r="E74" i="105"/>
  <c r="E75" i="105"/>
  <c r="E76" i="105"/>
  <c r="E77" i="105"/>
  <c r="E78" i="105"/>
  <c r="E79" i="105"/>
  <c r="E80" i="105"/>
  <c r="E81" i="105"/>
  <c r="E82" i="105"/>
  <c r="E83" i="105"/>
  <c r="E84" i="105"/>
  <c r="E85" i="105"/>
  <c r="E86" i="105"/>
  <c r="E87" i="105"/>
  <c r="E88" i="105"/>
  <c r="E89" i="105"/>
  <c r="E90" i="105"/>
  <c r="E91" i="105"/>
  <c r="E92" i="105"/>
  <c r="E93" i="105"/>
  <c r="E94" i="105"/>
  <c r="E95" i="105"/>
  <c r="E96" i="105"/>
  <c r="E97" i="105"/>
  <c r="E98" i="105"/>
  <c r="E99" i="105"/>
  <c r="E100" i="105"/>
  <c r="E101" i="105"/>
  <c r="E102" i="105"/>
  <c r="E103" i="105"/>
  <c r="E104" i="105"/>
  <c r="E38" i="1" s="1"/>
  <c r="E49" i="1" s="1"/>
  <c r="E105" i="105"/>
  <c r="E106" i="105"/>
  <c r="E107" i="105"/>
  <c r="E108" i="105"/>
  <c r="E109" i="105"/>
  <c r="E110" i="105"/>
  <c r="E111" i="105"/>
  <c r="E112" i="105"/>
  <c r="E113" i="105"/>
  <c r="E114" i="105"/>
  <c r="E115" i="105"/>
  <c r="E116" i="105"/>
  <c r="E117" i="105"/>
  <c r="E118" i="105"/>
  <c r="E119" i="105"/>
  <c r="E120" i="105"/>
  <c r="E121" i="105"/>
  <c r="E122" i="105"/>
  <c r="E123" i="105"/>
  <c r="E124" i="105"/>
  <c r="E125" i="105"/>
  <c r="E126" i="105"/>
  <c r="E127" i="105"/>
  <c r="E128" i="105"/>
  <c r="E129" i="105"/>
  <c r="E130" i="105"/>
  <c r="E131" i="105"/>
  <c r="E132" i="105"/>
  <c r="E133" i="105"/>
  <c r="E134" i="105"/>
  <c r="E135" i="105"/>
  <c r="E136" i="105"/>
  <c r="E137" i="105"/>
  <c r="E138" i="105"/>
  <c r="E139" i="105"/>
  <c r="E140" i="105"/>
  <c r="E141" i="105"/>
  <c r="E142" i="105"/>
  <c r="E143" i="105"/>
  <c r="E144" i="105"/>
  <c r="E145" i="105"/>
  <c r="E146" i="105"/>
  <c r="E147" i="105"/>
  <c r="E148" i="105"/>
  <c r="E149" i="105"/>
  <c r="E150" i="105"/>
  <c r="E151" i="105"/>
  <c r="E152" i="105"/>
  <c r="E153" i="105"/>
  <c r="E154" i="105"/>
  <c r="E155" i="105"/>
  <c r="E156" i="105"/>
  <c r="E157" i="105"/>
  <c r="E158" i="105"/>
  <c r="E159" i="105"/>
  <c r="E160" i="105"/>
  <c r="E161" i="105"/>
  <c r="E162" i="105"/>
  <c r="E163" i="105"/>
  <c r="E164" i="105"/>
  <c r="E165" i="105"/>
  <c r="E166" i="105"/>
  <c r="E167" i="105"/>
  <c r="E168" i="105"/>
  <c r="E169" i="105"/>
  <c r="E170" i="105"/>
  <c r="E171" i="105"/>
  <c r="E172" i="105"/>
  <c r="E173" i="105"/>
  <c r="E174" i="105"/>
  <c r="E175" i="105"/>
  <c r="E176" i="105"/>
  <c r="E177" i="105"/>
  <c r="E178" i="105"/>
  <c r="E179" i="105"/>
  <c r="E180" i="105"/>
  <c r="E181" i="105"/>
  <c r="E182" i="105"/>
  <c r="E183" i="105"/>
  <c r="E184" i="105"/>
  <c r="E185" i="105"/>
  <c r="E186" i="105"/>
  <c r="E187" i="105"/>
  <c r="E188" i="105"/>
  <c r="E189" i="105"/>
  <c r="E190" i="105"/>
  <c r="E191" i="105"/>
  <c r="E192" i="105"/>
  <c r="E193" i="105"/>
  <c r="E194" i="105"/>
  <c r="E195" i="105"/>
  <c r="E196" i="105"/>
  <c r="E197" i="105"/>
  <c r="E198" i="105"/>
  <c r="E199" i="105"/>
  <c r="E200" i="105"/>
  <c r="E201" i="105"/>
  <c r="E202" i="105"/>
  <c r="E203" i="105"/>
  <c r="E204" i="105"/>
  <c r="E205" i="105"/>
  <c r="E206" i="105"/>
  <c r="E207" i="105"/>
  <c r="E208" i="105"/>
  <c r="E209" i="105"/>
  <c r="E210" i="105"/>
  <c r="E211" i="105"/>
  <c r="E212" i="105"/>
  <c r="E213" i="105"/>
  <c r="E214" i="105"/>
  <c r="E215" i="105"/>
  <c r="E216" i="105"/>
  <c r="E217" i="105"/>
  <c r="E218" i="105"/>
  <c r="E219" i="105"/>
  <c r="E220" i="105"/>
  <c r="E221" i="105"/>
  <c r="E222" i="105"/>
  <c r="E223" i="105"/>
  <c r="E224" i="105"/>
  <c r="E225" i="105"/>
  <c r="E226" i="105"/>
  <c r="E227" i="105"/>
  <c r="E228" i="105"/>
  <c r="E229" i="105"/>
  <c r="E230" i="105"/>
  <c r="E231" i="105"/>
  <c r="E232" i="105"/>
  <c r="E233" i="105"/>
  <c r="E234" i="105"/>
  <c r="E235" i="105"/>
  <c r="E236" i="105"/>
  <c r="E237" i="105"/>
  <c r="E238" i="105"/>
  <c r="E239" i="105"/>
  <c r="E240" i="105"/>
  <c r="E241" i="105"/>
  <c r="E242" i="105"/>
  <c r="E243" i="105"/>
  <c r="E244" i="105"/>
  <c r="E245" i="105"/>
  <c r="E246" i="105"/>
  <c r="E247" i="105"/>
  <c r="E248" i="105"/>
  <c r="E249" i="105"/>
  <c r="E250" i="105"/>
  <c r="E251" i="105"/>
  <c r="E252" i="105"/>
  <c r="E253" i="105"/>
  <c r="E254" i="105"/>
  <c r="E255" i="105"/>
  <c r="E256" i="105"/>
  <c r="E257" i="105"/>
  <c r="E258" i="105"/>
  <c r="E259" i="105"/>
  <c r="E260" i="105"/>
  <c r="E261" i="105"/>
  <c r="E262" i="105"/>
  <c r="E263" i="105"/>
  <c r="E264" i="105"/>
  <c r="E265" i="105"/>
  <c r="E266" i="105"/>
  <c r="E267" i="105"/>
  <c r="E268" i="105"/>
  <c r="E269" i="105"/>
  <c r="E270" i="105"/>
  <c r="E271" i="105"/>
  <c r="E272" i="105"/>
  <c r="E273" i="105"/>
  <c r="E274" i="105"/>
  <c r="E275" i="105"/>
  <c r="E276" i="105"/>
  <c r="E277" i="105"/>
  <c r="E278" i="105"/>
  <c r="E279" i="105"/>
  <c r="E280" i="105"/>
  <c r="E281" i="105"/>
  <c r="E282" i="105"/>
  <c r="E283" i="105"/>
  <c r="E284" i="105"/>
  <c r="E285" i="105"/>
  <c r="AL51" i="101" l="1"/>
  <c r="AD42" i="101"/>
  <c r="V51" i="101"/>
  <c r="V33" i="101"/>
  <c r="F51" i="101"/>
  <c r="AL33" i="101"/>
  <c r="F33" i="101"/>
  <c r="AD33" i="101"/>
  <c r="V42" i="101"/>
  <c r="F42" i="101"/>
  <c r="AD51" i="101"/>
  <c r="AL42" i="101"/>
  <c r="B1" i="101" l="1"/>
  <c r="AJ107" i="101" l="1"/>
  <c r="AJ98" i="101"/>
  <c r="AJ89" i="101"/>
  <c r="AJ80" i="101"/>
  <c r="AJ68" i="101"/>
  <c r="AJ59" i="101"/>
  <c r="AJ50" i="101"/>
  <c r="AJ41" i="101"/>
  <c r="AJ23" i="101"/>
  <c r="AJ14" i="101"/>
  <c r="AB107" i="101"/>
  <c r="AB98" i="101"/>
  <c r="AB89" i="101"/>
  <c r="AB80" i="101"/>
  <c r="AB68" i="101"/>
  <c r="AB59" i="101"/>
  <c r="AB50" i="101"/>
  <c r="AB41" i="101"/>
  <c r="AB23" i="101"/>
  <c r="AB14" i="101"/>
  <c r="T107" i="101"/>
  <c r="T98" i="101"/>
  <c r="T89" i="101"/>
  <c r="T80" i="101"/>
  <c r="T68" i="101"/>
  <c r="T59" i="101"/>
  <c r="T50" i="101"/>
  <c r="T41" i="101"/>
  <c r="T23" i="101"/>
  <c r="T14" i="101"/>
  <c r="D116" i="101"/>
  <c r="D107" i="101"/>
  <c r="D98" i="101"/>
  <c r="D89" i="101"/>
  <c r="D23" i="101"/>
  <c r="D3" i="101" l="1"/>
  <c r="D80" i="101"/>
  <c r="D68" i="101"/>
  <c r="D59" i="101"/>
  <c r="D50" i="101"/>
  <c r="D41" i="101"/>
  <c r="D14" i="101"/>
  <c r="M112" i="101" l="1"/>
  <c r="N112" i="101" s="1"/>
  <c r="M104" i="101"/>
  <c r="N104" i="101" s="1"/>
  <c r="M96" i="101"/>
  <c r="N96" i="101" s="1"/>
  <c r="M88" i="101"/>
  <c r="N88" i="101" s="1"/>
  <c r="M71" i="101"/>
  <c r="N71" i="101" s="1"/>
  <c r="M63" i="101"/>
  <c r="N63" i="101" s="1"/>
  <c r="M55" i="101"/>
  <c r="N55" i="101" s="1"/>
  <c r="M44" i="101"/>
  <c r="N44" i="101" s="1"/>
  <c r="M30" i="101"/>
  <c r="N30" i="101" s="1"/>
  <c r="M22" i="101"/>
  <c r="N22" i="101" s="1"/>
  <c r="M6" i="101"/>
  <c r="M47" i="101"/>
  <c r="N47" i="101" s="1"/>
  <c r="M25" i="101"/>
  <c r="N25" i="101" s="1"/>
  <c r="M9" i="101"/>
  <c r="N9" i="101" s="1"/>
  <c r="M109" i="101"/>
  <c r="N109" i="101" s="1"/>
  <c r="M101" i="101"/>
  <c r="N101" i="101" s="1"/>
  <c r="M93" i="101"/>
  <c r="N93" i="101" s="1"/>
  <c r="M85" i="101"/>
  <c r="N85" i="101" s="1"/>
  <c r="M76" i="101"/>
  <c r="N76" i="101" s="1"/>
  <c r="M60" i="101"/>
  <c r="M52" i="101"/>
  <c r="M49" i="101"/>
  <c r="N49" i="101" s="1"/>
  <c r="M38" i="101"/>
  <c r="N38" i="101" s="1"/>
  <c r="M27" i="101"/>
  <c r="N27" i="101" s="1"/>
  <c r="M19" i="101"/>
  <c r="N19" i="101" s="1"/>
  <c r="M11" i="101"/>
  <c r="N11" i="101" s="1"/>
  <c r="M114" i="101"/>
  <c r="N114" i="101" s="1"/>
  <c r="M106" i="101"/>
  <c r="N106" i="101" s="1"/>
  <c r="M90" i="101"/>
  <c r="M82" i="101"/>
  <c r="N82" i="101" s="1"/>
  <c r="M73" i="101"/>
  <c r="N73" i="101" s="1"/>
  <c r="M65" i="101"/>
  <c r="N65" i="101" s="1"/>
  <c r="M57" i="101"/>
  <c r="N57" i="101" s="1"/>
  <c r="M46" i="101"/>
  <c r="N46" i="101" s="1"/>
  <c r="M35" i="101"/>
  <c r="N35" i="101" s="1"/>
  <c r="M24" i="101"/>
  <c r="M16" i="101"/>
  <c r="N16" i="101" s="1"/>
  <c r="M8" i="101"/>
  <c r="N8" i="101" s="1"/>
  <c r="M17" i="101"/>
  <c r="N17" i="101" s="1"/>
  <c r="M111" i="101"/>
  <c r="N111" i="101" s="1"/>
  <c r="M103" i="101"/>
  <c r="N103" i="101" s="1"/>
  <c r="M95" i="101"/>
  <c r="N95" i="101" s="1"/>
  <c r="M87" i="101"/>
  <c r="N87" i="101" s="1"/>
  <c r="M79" i="101"/>
  <c r="M70" i="101"/>
  <c r="N70" i="101" s="1"/>
  <c r="M62" i="101"/>
  <c r="N62" i="101" s="1"/>
  <c r="M54" i="101"/>
  <c r="N54" i="101" s="1"/>
  <c r="M43" i="101"/>
  <c r="M40" i="101"/>
  <c r="N40" i="101" s="1"/>
  <c r="M29" i="101"/>
  <c r="N29" i="101" s="1"/>
  <c r="M21" i="101"/>
  <c r="N21" i="101" s="1"/>
  <c r="M13" i="101"/>
  <c r="N13" i="101" s="1"/>
  <c r="M10" i="101"/>
  <c r="N10" i="101" s="1"/>
  <c r="M74" i="101"/>
  <c r="N74" i="101" s="1"/>
  <c r="M108" i="101"/>
  <c r="M100" i="101"/>
  <c r="N100" i="101" s="1"/>
  <c r="M92" i="101"/>
  <c r="N92" i="101" s="1"/>
  <c r="M84" i="101"/>
  <c r="N84" i="101" s="1"/>
  <c r="M75" i="101"/>
  <c r="N75" i="101" s="1"/>
  <c r="M67" i="101"/>
  <c r="N67" i="101" s="1"/>
  <c r="M48" i="101"/>
  <c r="N48" i="101" s="1"/>
  <c r="M37" i="101"/>
  <c r="N37" i="101" s="1"/>
  <c r="M26" i="101"/>
  <c r="N26" i="101" s="1"/>
  <c r="M18" i="101"/>
  <c r="N18" i="101" s="1"/>
  <c r="M113" i="101"/>
  <c r="N113" i="101" s="1"/>
  <c r="M105" i="101"/>
  <c r="N105" i="101" s="1"/>
  <c r="M97" i="101"/>
  <c r="N97" i="101" s="1"/>
  <c r="M81" i="101"/>
  <c r="M72" i="101"/>
  <c r="N72" i="101" s="1"/>
  <c r="M64" i="101"/>
  <c r="N64" i="101" s="1"/>
  <c r="M56" i="101"/>
  <c r="N56" i="101" s="1"/>
  <c r="M45" i="101"/>
  <c r="N45" i="101" s="1"/>
  <c r="M34" i="101"/>
  <c r="M31" i="101"/>
  <c r="N31" i="101" s="1"/>
  <c r="M15" i="101"/>
  <c r="M7" i="101"/>
  <c r="N7" i="101" s="1"/>
  <c r="M36" i="101"/>
  <c r="N36" i="101" s="1"/>
  <c r="M110" i="101"/>
  <c r="N110" i="101" s="1"/>
  <c r="M102" i="101"/>
  <c r="N102" i="101" s="1"/>
  <c r="M94" i="101"/>
  <c r="N94" i="101" s="1"/>
  <c r="M86" i="101"/>
  <c r="N86" i="101" s="1"/>
  <c r="M69" i="101"/>
  <c r="M61" i="101"/>
  <c r="N61" i="101" s="1"/>
  <c r="M53" i="101"/>
  <c r="N53" i="101" s="1"/>
  <c r="M39" i="101"/>
  <c r="N39" i="101" s="1"/>
  <c r="M28" i="101"/>
  <c r="N28" i="101" s="1"/>
  <c r="M20" i="101"/>
  <c r="N20" i="101" s="1"/>
  <c r="M12" i="101"/>
  <c r="N12" i="101" s="1"/>
  <c r="M115" i="101"/>
  <c r="N115" i="101" s="1"/>
  <c r="M99" i="101"/>
  <c r="M91" i="101"/>
  <c r="N91" i="101" s="1"/>
  <c r="M83" i="101"/>
  <c r="N83" i="101" s="1"/>
  <c r="M66" i="101"/>
  <c r="N66" i="101" s="1"/>
  <c r="M58" i="101"/>
  <c r="N58" i="101" s="1"/>
  <c r="D117" i="101"/>
  <c r="AK114" i="101"/>
  <c r="AL114" i="101" s="1"/>
  <c r="AK110" i="101"/>
  <c r="AL110" i="101" s="1"/>
  <c r="AC115" i="101"/>
  <c r="AD115" i="101" s="1"/>
  <c r="AC111" i="101"/>
  <c r="AD111" i="101" s="1"/>
  <c r="AK113" i="101"/>
  <c r="AL113" i="101" s="1"/>
  <c r="AK109" i="101"/>
  <c r="AL109" i="101" s="1"/>
  <c r="AC110" i="101"/>
  <c r="AD110" i="101" s="1"/>
  <c r="AK108" i="101"/>
  <c r="AC113" i="101"/>
  <c r="AD113" i="101" s="1"/>
  <c r="AC109" i="101"/>
  <c r="AD109" i="101" s="1"/>
  <c r="AC112" i="101"/>
  <c r="AD112" i="101" s="1"/>
  <c r="AC114" i="101"/>
  <c r="AD114" i="101" s="1"/>
  <c r="AK115" i="101"/>
  <c r="AL115" i="101" s="1"/>
  <c r="AC108" i="101"/>
  <c r="AK112" i="101"/>
  <c r="AL112" i="101" s="1"/>
  <c r="AK111" i="101"/>
  <c r="AL111" i="101" s="1"/>
  <c r="U113" i="101"/>
  <c r="V113" i="101" s="1"/>
  <c r="U114" i="101"/>
  <c r="V114" i="101" s="1"/>
  <c r="U112" i="101"/>
  <c r="V112" i="101" s="1"/>
  <c r="U110" i="101"/>
  <c r="V110" i="101" s="1"/>
  <c r="U108" i="101"/>
  <c r="V108" i="101" s="1"/>
  <c r="U111" i="101"/>
  <c r="V111" i="101" s="1"/>
  <c r="U109" i="101"/>
  <c r="V109" i="101" s="1"/>
  <c r="U115" i="101"/>
  <c r="V115" i="101" s="1"/>
  <c r="AK31" i="101"/>
  <c r="AL31" i="101" s="1"/>
  <c r="AK30" i="101"/>
  <c r="AL30" i="101" s="1"/>
  <c r="AK29" i="101"/>
  <c r="AL29" i="101" s="1"/>
  <c r="AK28" i="101"/>
  <c r="AL28" i="101" s="1"/>
  <c r="AK27" i="101"/>
  <c r="AL27" i="101" s="1"/>
  <c r="AK26" i="101"/>
  <c r="AL26" i="101" s="1"/>
  <c r="AK25" i="101"/>
  <c r="AL25" i="101" s="1"/>
  <c r="AK24" i="101"/>
  <c r="E76" i="101"/>
  <c r="F76" i="101" s="1"/>
  <c r="E75" i="101"/>
  <c r="F75" i="101" s="1"/>
  <c r="E74" i="101"/>
  <c r="F74" i="101" s="1"/>
  <c r="E73" i="101"/>
  <c r="F73" i="101" s="1"/>
  <c r="E72" i="101"/>
  <c r="F72" i="101" s="1"/>
  <c r="E71" i="101"/>
  <c r="F71" i="101" s="1"/>
  <c r="E70" i="101"/>
  <c r="F70" i="101" s="1"/>
  <c r="E69" i="101"/>
  <c r="E29" i="101"/>
  <c r="F29" i="101" s="1"/>
  <c r="U75" i="101"/>
  <c r="V75" i="101" s="1"/>
  <c r="U70" i="101"/>
  <c r="V70" i="101" s="1"/>
  <c r="AC31" i="101"/>
  <c r="AD31" i="101" s="1"/>
  <c r="AC30" i="101"/>
  <c r="AD30" i="101" s="1"/>
  <c r="AC29" i="101"/>
  <c r="AD29" i="101" s="1"/>
  <c r="AC28" i="101"/>
  <c r="AD28" i="101" s="1"/>
  <c r="AC27" i="101"/>
  <c r="AD27" i="101" s="1"/>
  <c r="AC26" i="101"/>
  <c r="AD26" i="101" s="1"/>
  <c r="AC25" i="101"/>
  <c r="AD25" i="101" s="1"/>
  <c r="AC24" i="101"/>
  <c r="AD24" i="101" s="1"/>
  <c r="AK76" i="101"/>
  <c r="AL76" i="101" s="1"/>
  <c r="AK75" i="101"/>
  <c r="AL75" i="101" s="1"/>
  <c r="AK74" i="101"/>
  <c r="AL74" i="101" s="1"/>
  <c r="AK73" i="101"/>
  <c r="AL73" i="101" s="1"/>
  <c r="AK72" i="101"/>
  <c r="AL72" i="101" s="1"/>
  <c r="AK71" i="101"/>
  <c r="AL71" i="101" s="1"/>
  <c r="AK70" i="101"/>
  <c r="AL70" i="101" s="1"/>
  <c r="AK69" i="101"/>
  <c r="AL69" i="101" s="1"/>
  <c r="E31" i="101"/>
  <c r="F31" i="101" s="1"/>
  <c r="E30" i="101"/>
  <c r="F30" i="101" s="1"/>
  <c r="E27" i="101"/>
  <c r="F27" i="101" s="1"/>
  <c r="E25" i="101"/>
  <c r="F25" i="101" s="1"/>
  <c r="U74" i="101"/>
  <c r="V74" i="101" s="1"/>
  <c r="U71" i="101"/>
  <c r="V71" i="101" s="1"/>
  <c r="U31" i="101"/>
  <c r="V31" i="101" s="1"/>
  <c r="U30" i="101"/>
  <c r="V30" i="101" s="1"/>
  <c r="U29" i="101"/>
  <c r="V29" i="101" s="1"/>
  <c r="U28" i="101"/>
  <c r="V28" i="101" s="1"/>
  <c r="U27" i="101"/>
  <c r="V27" i="101" s="1"/>
  <c r="U26" i="101"/>
  <c r="V26" i="101" s="1"/>
  <c r="U25" i="101"/>
  <c r="V25" i="101" s="1"/>
  <c r="U24" i="101"/>
  <c r="V24" i="101" s="1"/>
  <c r="AC76" i="101"/>
  <c r="AD76" i="101" s="1"/>
  <c r="AC75" i="101"/>
  <c r="AD75" i="101" s="1"/>
  <c r="AC74" i="101"/>
  <c r="AD74" i="101" s="1"/>
  <c r="AC73" i="101"/>
  <c r="AD73" i="101" s="1"/>
  <c r="AC72" i="101"/>
  <c r="AD72" i="101" s="1"/>
  <c r="AC71" i="101"/>
  <c r="AD71" i="101" s="1"/>
  <c r="AC70" i="101"/>
  <c r="AD70" i="101" s="1"/>
  <c r="AC69" i="101"/>
  <c r="AD69" i="101" s="1"/>
  <c r="E28" i="101"/>
  <c r="F28" i="101" s="1"/>
  <c r="E26" i="101"/>
  <c r="F26" i="101" s="1"/>
  <c r="E24" i="101"/>
  <c r="F24" i="101" s="1"/>
  <c r="U76" i="101"/>
  <c r="V76" i="101" s="1"/>
  <c r="U73" i="101"/>
  <c r="V73" i="101" s="1"/>
  <c r="U72" i="101"/>
  <c r="V72" i="101" s="1"/>
  <c r="U69" i="101"/>
  <c r="AI80" i="101"/>
  <c r="AA50" i="101"/>
  <c r="AA23" i="101"/>
  <c r="S59" i="101"/>
  <c r="S98" i="101"/>
  <c r="S50" i="101"/>
  <c r="AI41" i="101"/>
  <c r="C23" i="101"/>
  <c r="C80" i="101"/>
  <c r="AI23" i="101"/>
  <c r="C89" i="101"/>
  <c r="S23" i="101"/>
  <c r="S89" i="101"/>
  <c r="AA41" i="101"/>
  <c r="S41" i="101"/>
  <c r="AA14" i="101"/>
  <c r="AI50" i="101"/>
  <c r="AI89" i="101"/>
  <c r="C50" i="101"/>
  <c r="AI68" i="101"/>
  <c r="S80" i="101"/>
  <c r="S14" i="101"/>
  <c r="AA68" i="101"/>
  <c r="AI98" i="101"/>
  <c r="AA80" i="101"/>
  <c r="AA59" i="101"/>
  <c r="C68" i="101"/>
  <c r="S68" i="101"/>
  <c r="C14" i="101"/>
  <c r="C107" i="101"/>
  <c r="S107" i="101"/>
  <c r="C41" i="101"/>
  <c r="C116" i="101"/>
  <c r="C98" i="101"/>
  <c r="AA98" i="101"/>
  <c r="AI107" i="101"/>
  <c r="AA89" i="101"/>
  <c r="AI14" i="101"/>
  <c r="C59" i="101"/>
  <c r="AA107" i="101"/>
  <c r="AI59" i="101"/>
  <c r="AK104" i="101"/>
  <c r="AL104" i="101" s="1"/>
  <c r="AK100" i="101"/>
  <c r="AL100" i="101" s="1"/>
  <c r="AK97" i="101"/>
  <c r="AL97" i="101" s="1"/>
  <c r="AK93" i="101"/>
  <c r="AL93" i="101" s="1"/>
  <c r="AK86" i="101"/>
  <c r="AL86" i="101" s="1"/>
  <c r="AK82" i="101"/>
  <c r="AL82" i="101" s="1"/>
  <c r="AK79" i="101"/>
  <c r="AK66" i="101"/>
  <c r="AL66" i="101" s="1"/>
  <c r="AK62" i="101"/>
  <c r="AL62" i="101" s="1"/>
  <c r="AK55" i="101"/>
  <c r="AL55" i="101" s="1"/>
  <c r="AK47" i="101"/>
  <c r="AL47" i="101" s="1"/>
  <c r="AK43" i="101"/>
  <c r="AL43" i="101" s="1"/>
  <c r="AK39" i="101"/>
  <c r="AL39" i="101" s="1"/>
  <c r="AK35" i="101"/>
  <c r="AL35" i="101" s="1"/>
  <c r="AK22" i="101"/>
  <c r="AL22" i="101" s="1"/>
  <c r="AK18" i="101"/>
  <c r="AL18" i="101" s="1"/>
  <c r="AK11" i="101"/>
  <c r="AL11" i="101" s="1"/>
  <c r="AK7" i="101"/>
  <c r="AL7" i="101" s="1"/>
  <c r="AC106" i="101"/>
  <c r="AD106" i="101" s="1"/>
  <c r="AC102" i="101"/>
  <c r="AD102" i="101" s="1"/>
  <c r="AC95" i="101"/>
  <c r="AD95" i="101" s="1"/>
  <c r="AC91" i="101"/>
  <c r="AD91" i="101" s="1"/>
  <c r="AC64" i="101"/>
  <c r="AD64" i="101" s="1"/>
  <c r="AC53" i="101"/>
  <c r="AD53" i="101" s="1"/>
  <c r="AC16" i="101"/>
  <c r="AD16" i="101" s="1"/>
  <c r="AC9" i="101"/>
  <c r="AD9" i="101" s="1"/>
  <c r="AC15" i="101"/>
  <c r="AD15" i="101" s="1"/>
  <c r="AK103" i="101"/>
  <c r="AL103" i="101" s="1"/>
  <c r="AK99" i="101"/>
  <c r="AL99" i="101" s="1"/>
  <c r="AK96" i="101"/>
  <c r="AL96" i="101" s="1"/>
  <c r="AK92" i="101"/>
  <c r="AL92" i="101" s="1"/>
  <c r="AK85" i="101"/>
  <c r="AL85" i="101" s="1"/>
  <c r="AK81" i="101"/>
  <c r="AL81" i="101" s="1"/>
  <c r="AK65" i="101"/>
  <c r="AL65" i="101" s="1"/>
  <c r="AK61" i="101"/>
  <c r="AL61" i="101" s="1"/>
  <c r="AK58" i="101"/>
  <c r="AL58" i="101" s="1"/>
  <c r="AK54" i="101"/>
  <c r="AL54" i="101" s="1"/>
  <c r="AK46" i="101"/>
  <c r="AL46" i="101" s="1"/>
  <c r="AK38" i="101"/>
  <c r="AL38" i="101" s="1"/>
  <c r="AK34" i="101"/>
  <c r="AL34" i="101" s="1"/>
  <c r="AK21" i="101"/>
  <c r="AL21" i="101" s="1"/>
  <c r="AK17" i="101"/>
  <c r="AL17" i="101" s="1"/>
  <c r="AK10" i="101"/>
  <c r="AL10" i="101" s="1"/>
  <c r="AK6" i="101"/>
  <c r="AL6" i="101" s="1"/>
  <c r="AC105" i="101"/>
  <c r="AD105" i="101" s="1"/>
  <c r="AC101" i="101"/>
  <c r="AD101" i="101" s="1"/>
  <c r="AC94" i="101"/>
  <c r="AD94" i="101" s="1"/>
  <c r="AC90" i="101"/>
  <c r="AD90" i="101" s="1"/>
  <c r="AC87" i="101"/>
  <c r="AD87" i="101" s="1"/>
  <c r="AC83" i="101"/>
  <c r="AD83" i="101" s="1"/>
  <c r="AC67" i="101"/>
  <c r="AD67" i="101" s="1"/>
  <c r="AC63" i="101"/>
  <c r="AD63" i="101" s="1"/>
  <c r="AC56" i="101"/>
  <c r="AD56" i="101" s="1"/>
  <c r="AC52" i="101"/>
  <c r="AD52" i="101" s="1"/>
  <c r="AC48" i="101"/>
  <c r="AD48" i="101" s="1"/>
  <c r="AC36" i="101"/>
  <c r="AD36" i="101" s="1"/>
  <c r="AC19" i="101"/>
  <c r="AD19" i="101" s="1"/>
  <c r="AK106" i="101"/>
  <c r="AL106" i="101" s="1"/>
  <c r="AK102" i="101"/>
  <c r="AL102" i="101" s="1"/>
  <c r="AK95" i="101"/>
  <c r="AL95" i="101" s="1"/>
  <c r="AK91" i="101"/>
  <c r="AL91" i="101" s="1"/>
  <c r="AK88" i="101"/>
  <c r="AL88" i="101" s="1"/>
  <c r="AK84" i="101"/>
  <c r="AL84" i="101" s="1"/>
  <c r="AK64" i="101"/>
  <c r="AL64" i="101" s="1"/>
  <c r="AK60" i="101"/>
  <c r="AL60" i="101" s="1"/>
  <c r="AK57" i="101"/>
  <c r="AL57" i="101" s="1"/>
  <c r="AK53" i="101"/>
  <c r="AL53" i="101" s="1"/>
  <c r="AK49" i="101"/>
  <c r="AL49" i="101" s="1"/>
  <c r="AK45" i="101"/>
  <c r="AL45" i="101" s="1"/>
  <c r="AK37" i="101"/>
  <c r="AL37" i="101" s="1"/>
  <c r="AK20" i="101"/>
  <c r="AL20" i="101" s="1"/>
  <c r="AK16" i="101"/>
  <c r="AL16" i="101" s="1"/>
  <c r="AK13" i="101"/>
  <c r="AL13" i="101" s="1"/>
  <c r="AK9" i="101"/>
  <c r="AL9" i="101" s="1"/>
  <c r="AC104" i="101"/>
  <c r="AD104" i="101" s="1"/>
  <c r="AC100" i="101"/>
  <c r="AD100" i="101" s="1"/>
  <c r="AC97" i="101"/>
  <c r="AD97" i="101" s="1"/>
  <c r="AC93" i="101"/>
  <c r="AD93" i="101" s="1"/>
  <c r="AC86" i="101"/>
  <c r="AD86" i="101" s="1"/>
  <c r="AC82" i="101"/>
  <c r="AD82" i="101" s="1"/>
  <c r="AC79" i="101"/>
  <c r="AC66" i="101"/>
  <c r="AD66" i="101" s="1"/>
  <c r="AC62" i="101"/>
  <c r="AD62" i="101" s="1"/>
  <c r="AC55" i="101"/>
  <c r="AD55" i="101" s="1"/>
  <c r="AC47" i="101"/>
  <c r="AD47" i="101" s="1"/>
  <c r="AC43" i="101"/>
  <c r="AD43" i="101" s="1"/>
  <c r="AC39" i="101"/>
  <c r="AD39" i="101" s="1"/>
  <c r="AC35" i="101"/>
  <c r="AD35" i="101" s="1"/>
  <c r="AC22" i="101"/>
  <c r="AD22" i="101" s="1"/>
  <c r="AC18" i="101"/>
  <c r="AD18" i="101" s="1"/>
  <c r="AC11" i="101"/>
  <c r="AD11" i="101" s="1"/>
  <c r="AC7" i="101"/>
  <c r="AD7" i="101" s="1"/>
  <c r="AC84" i="101"/>
  <c r="AD84" i="101" s="1"/>
  <c r="AC60" i="101"/>
  <c r="AD60" i="101" s="1"/>
  <c r="AC49" i="101"/>
  <c r="AD49" i="101" s="1"/>
  <c r="AC20" i="101"/>
  <c r="AD20" i="101" s="1"/>
  <c r="AC44" i="101"/>
  <c r="AD44" i="101" s="1"/>
  <c r="AC8" i="101"/>
  <c r="AD8" i="101" s="1"/>
  <c r="AK105" i="101"/>
  <c r="AL105" i="101" s="1"/>
  <c r="AK101" i="101"/>
  <c r="AL101" i="101" s="1"/>
  <c r="AK94" i="101"/>
  <c r="AL94" i="101" s="1"/>
  <c r="AK90" i="101"/>
  <c r="AL90" i="101" s="1"/>
  <c r="AK87" i="101"/>
  <c r="AL87" i="101" s="1"/>
  <c r="AK83" i="101"/>
  <c r="AL83" i="101" s="1"/>
  <c r="AK67" i="101"/>
  <c r="AL67" i="101" s="1"/>
  <c r="AK63" i="101"/>
  <c r="AL63" i="101" s="1"/>
  <c r="AK56" i="101"/>
  <c r="AL56" i="101" s="1"/>
  <c r="AK52" i="101"/>
  <c r="AL52" i="101" s="1"/>
  <c r="AK48" i="101"/>
  <c r="AL48" i="101" s="1"/>
  <c r="AK44" i="101"/>
  <c r="AL44" i="101" s="1"/>
  <c r="AK40" i="101"/>
  <c r="AL40" i="101" s="1"/>
  <c r="AK36" i="101"/>
  <c r="AL36" i="101" s="1"/>
  <c r="AK19" i="101"/>
  <c r="AL19" i="101" s="1"/>
  <c r="AK15" i="101"/>
  <c r="AL15" i="101" s="1"/>
  <c r="AK12" i="101"/>
  <c r="AL12" i="101" s="1"/>
  <c r="AK8" i="101"/>
  <c r="AL8" i="101" s="1"/>
  <c r="AC103" i="101"/>
  <c r="AD103" i="101" s="1"/>
  <c r="AC99" i="101"/>
  <c r="AD99" i="101" s="1"/>
  <c r="AC96" i="101"/>
  <c r="AD96" i="101" s="1"/>
  <c r="AC92" i="101"/>
  <c r="AD92" i="101" s="1"/>
  <c r="AC85" i="101"/>
  <c r="AD85" i="101" s="1"/>
  <c r="AC81" i="101"/>
  <c r="AD81" i="101" s="1"/>
  <c r="AC65" i="101"/>
  <c r="AD65" i="101" s="1"/>
  <c r="AC61" i="101"/>
  <c r="AD61" i="101" s="1"/>
  <c r="AC58" i="101"/>
  <c r="AD58" i="101" s="1"/>
  <c r="AC54" i="101"/>
  <c r="AD54" i="101" s="1"/>
  <c r="AC46" i="101"/>
  <c r="AD46" i="101" s="1"/>
  <c r="AC38" i="101"/>
  <c r="AD38" i="101" s="1"/>
  <c r="AC34" i="101"/>
  <c r="AD34" i="101" s="1"/>
  <c r="AC21" i="101"/>
  <c r="AD21" i="101" s="1"/>
  <c r="AC17" i="101"/>
  <c r="AD17" i="101" s="1"/>
  <c r="AC10" i="101"/>
  <c r="AD10" i="101" s="1"/>
  <c r="AC6" i="101"/>
  <c r="AD6" i="101" s="1"/>
  <c r="AC88" i="101"/>
  <c r="AD88" i="101" s="1"/>
  <c r="AC57" i="101"/>
  <c r="AD57" i="101" s="1"/>
  <c r="AC45" i="101"/>
  <c r="AD45" i="101" s="1"/>
  <c r="AC37" i="101"/>
  <c r="AD37" i="101" s="1"/>
  <c r="AC13" i="101"/>
  <c r="AD13" i="101" s="1"/>
  <c r="AC40" i="101"/>
  <c r="AD40" i="101" s="1"/>
  <c r="AC12" i="101"/>
  <c r="AD12" i="101" s="1"/>
  <c r="E61" i="101"/>
  <c r="F61" i="101" s="1"/>
  <c r="U104" i="101"/>
  <c r="V104" i="101" s="1"/>
  <c r="U100" i="101"/>
  <c r="V100" i="101" s="1"/>
  <c r="U97" i="101"/>
  <c r="V97" i="101" s="1"/>
  <c r="U93" i="101"/>
  <c r="V93" i="101" s="1"/>
  <c r="U86" i="101"/>
  <c r="V86" i="101" s="1"/>
  <c r="U82" i="101"/>
  <c r="V82" i="101" s="1"/>
  <c r="U67" i="101"/>
  <c r="V67" i="101" s="1"/>
  <c r="U63" i="101"/>
  <c r="V63" i="101" s="1"/>
  <c r="U56" i="101"/>
  <c r="V56" i="101" s="1"/>
  <c r="U52" i="101"/>
  <c r="V52" i="101" s="1"/>
  <c r="U48" i="101"/>
  <c r="V48" i="101" s="1"/>
  <c r="U44" i="101"/>
  <c r="V44" i="101" s="1"/>
  <c r="U40" i="101"/>
  <c r="V40" i="101" s="1"/>
  <c r="U36" i="101"/>
  <c r="V36" i="101" s="1"/>
  <c r="U19" i="101"/>
  <c r="V19" i="101" s="1"/>
  <c r="U15" i="101"/>
  <c r="V15" i="101" s="1"/>
  <c r="U12" i="101"/>
  <c r="V12" i="101" s="1"/>
  <c r="U8" i="101"/>
  <c r="V8" i="101" s="1"/>
  <c r="E112" i="101"/>
  <c r="F112" i="101" s="1"/>
  <c r="E108" i="101"/>
  <c r="F108" i="101" s="1"/>
  <c r="E105" i="101"/>
  <c r="F105" i="101" s="1"/>
  <c r="E101" i="101"/>
  <c r="F101" i="101" s="1"/>
  <c r="U101" i="101"/>
  <c r="V101" i="101" s="1"/>
  <c r="U94" i="101"/>
  <c r="V94" i="101" s="1"/>
  <c r="U87" i="101"/>
  <c r="V87" i="101" s="1"/>
  <c r="U45" i="101"/>
  <c r="V45" i="101" s="1"/>
  <c r="U37" i="101"/>
  <c r="V37" i="101" s="1"/>
  <c r="U16" i="101"/>
  <c r="V16" i="101" s="1"/>
  <c r="U9" i="101"/>
  <c r="V9" i="101" s="1"/>
  <c r="E113" i="101"/>
  <c r="F113" i="101" s="1"/>
  <c r="E106" i="101"/>
  <c r="F106" i="101" s="1"/>
  <c r="U103" i="101"/>
  <c r="V103" i="101" s="1"/>
  <c r="U99" i="101"/>
  <c r="V99" i="101" s="1"/>
  <c r="U96" i="101"/>
  <c r="V96" i="101" s="1"/>
  <c r="U92" i="101"/>
  <c r="V92" i="101" s="1"/>
  <c r="U85" i="101"/>
  <c r="V85" i="101" s="1"/>
  <c r="U81" i="101"/>
  <c r="V81" i="101" s="1"/>
  <c r="U79" i="101"/>
  <c r="U66" i="101"/>
  <c r="V66" i="101" s="1"/>
  <c r="U62" i="101"/>
  <c r="V62" i="101" s="1"/>
  <c r="U55" i="101"/>
  <c r="V55" i="101" s="1"/>
  <c r="U47" i="101"/>
  <c r="V47" i="101" s="1"/>
  <c r="U43" i="101"/>
  <c r="V43" i="101" s="1"/>
  <c r="U39" i="101"/>
  <c r="V39" i="101" s="1"/>
  <c r="U35" i="101"/>
  <c r="V35" i="101" s="1"/>
  <c r="U22" i="101"/>
  <c r="V22" i="101" s="1"/>
  <c r="U18" i="101"/>
  <c r="V18" i="101" s="1"/>
  <c r="U11" i="101"/>
  <c r="V11" i="101" s="1"/>
  <c r="U7" i="101"/>
  <c r="V7" i="101" s="1"/>
  <c r="E115" i="101"/>
  <c r="F115" i="101" s="1"/>
  <c r="E111" i="101"/>
  <c r="F111" i="101" s="1"/>
  <c r="E104" i="101"/>
  <c r="F104" i="101" s="1"/>
  <c r="E100" i="101"/>
  <c r="F100" i="101" s="1"/>
  <c r="U64" i="101"/>
  <c r="V64" i="101" s="1"/>
  <c r="U60" i="101"/>
  <c r="V60" i="101" s="1"/>
  <c r="U57" i="101"/>
  <c r="V57" i="101" s="1"/>
  <c r="U49" i="101"/>
  <c r="V49" i="101" s="1"/>
  <c r="U20" i="101"/>
  <c r="V20" i="101" s="1"/>
  <c r="U106" i="101"/>
  <c r="V106" i="101" s="1"/>
  <c r="U102" i="101"/>
  <c r="V102" i="101" s="1"/>
  <c r="U95" i="101"/>
  <c r="V95" i="101" s="1"/>
  <c r="U91" i="101"/>
  <c r="V91" i="101" s="1"/>
  <c r="U88" i="101"/>
  <c r="V88" i="101" s="1"/>
  <c r="U84" i="101"/>
  <c r="V84" i="101" s="1"/>
  <c r="U65" i="101"/>
  <c r="V65" i="101" s="1"/>
  <c r="U61" i="101"/>
  <c r="V61" i="101" s="1"/>
  <c r="U58" i="101"/>
  <c r="V58" i="101" s="1"/>
  <c r="U54" i="101"/>
  <c r="V54" i="101" s="1"/>
  <c r="U46" i="101"/>
  <c r="V46" i="101" s="1"/>
  <c r="U38" i="101"/>
  <c r="V38" i="101" s="1"/>
  <c r="U34" i="101"/>
  <c r="V34" i="101" s="1"/>
  <c r="U21" i="101"/>
  <c r="V21" i="101" s="1"/>
  <c r="U17" i="101"/>
  <c r="V17" i="101" s="1"/>
  <c r="U10" i="101"/>
  <c r="V10" i="101" s="1"/>
  <c r="U6" i="101"/>
  <c r="V6" i="101" s="1"/>
  <c r="E114" i="101"/>
  <c r="F114" i="101" s="1"/>
  <c r="E110" i="101"/>
  <c r="F110" i="101" s="1"/>
  <c r="E103" i="101"/>
  <c r="F103" i="101" s="1"/>
  <c r="E99" i="101"/>
  <c r="F99" i="101" s="1"/>
  <c r="U105" i="101"/>
  <c r="V105" i="101" s="1"/>
  <c r="U90" i="101"/>
  <c r="V90" i="101" s="1"/>
  <c r="U83" i="101"/>
  <c r="V83" i="101" s="1"/>
  <c r="U53" i="101"/>
  <c r="V53" i="101" s="1"/>
  <c r="U13" i="101"/>
  <c r="V13" i="101" s="1"/>
  <c r="E109" i="101"/>
  <c r="F109" i="101" s="1"/>
  <c r="E102" i="101"/>
  <c r="F102" i="101" s="1"/>
  <c r="E12" i="101"/>
  <c r="F12" i="101" s="1"/>
  <c r="E8" i="101"/>
  <c r="F8" i="101" s="1"/>
  <c r="E39" i="101"/>
  <c r="F39" i="101" s="1"/>
  <c r="E35" i="101"/>
  <c r="F35" i="101" s="1"/>
  <c r="E47" i="101"/>
  <c r="F47" i="101" s="1"/>
  <c r="E52" i="101"/>
  <c r="F52" i="101" s="1"/>
  <c r="E55" i="101"/>
  <c r="F55" i="101" s="1"/>
  <c r="E67" i="101"/>
  <c r="F67" i="101" s="1"/>
  <c r="E63" i="101"/>
  <c r="F63" i="101" s="1"/>
  <c r="E11" i="101"/>
  <c r="F11" i="101" s="1"/>
  <c r="E38" i="101"/>
  <c r="F38" i="101" s="1"/>
  <c r="E66" i="101"/>
  <c r="F66" i="101" s="1"/>
  <c r="E6" i="101"/>
  <c r="F6" i="101" s="1"/>
  <c r="E10" i="101"/>
  <c r="F10" i="101" s="1"/>
  <c r="E34" i="101"/>
  <c r="F34" i="101" s="1"/>
  <c r="E37" i="101"/>
  <c r="F37" i="101" s="1"/>
  <c r="E49" i="101"/>
  <c r="F49" i="101" s="1"/>
  <c r="E45" i="101"/>
  <c r="F45" i="101" s="1"/>
  <c r="E57" i="101"/>
  <c r="F57" i="101" s="1"/>
  <c r="E53" i="101"/>
  <c r="F53" i="101" s="1"/>
  <c r="E65" i="101"/>
  <c r="F65" i="101" s="1"/>
  <c r="E95" i="101"/>
  <c r="F95" i="101" s="1"/>
  <c r="E91" i="101"/>
  <c r="F91" i="101" s="1"/>
  <c r="E88" i="101"/>
  <c r="F88" i="101" s="1"/>
  <c r="E84" i="101"/>
  <c r="F84" i="101" s="1"/>
  <c r="E20" i="101"/>
  <c r="F20" i="101" s="1"/>
  <c r="E16" i="101"/>
  <c r="F16" i="101" s="1"/>
  <c r="E94" i="101"/>
  <c r="F94" i="101" s="1"/>
  <c r="E90" i="101"/>
  <c r="F90" i="101" s="1"/>
  <c r="E87" i="101"/>
  <c r="F87" i="101" s="1"/>
  <c r="E83" i="101"/>
  <c r="F83" i="101" s="1"/>
  <c r="E19" i="101"/>
  <c r="F19" i="101" s="1"/>
  <c r="E15" i="101"/>
  <c r="F15" i="101" s="1"/>
  <c r="E97" i="101"/>
  <c r="F97" i="101" s="1"/>
  <c r="E93" i="101"/>
  <c r="F93" i="101" s="1"/>
  <c r="E86" i="101"/>
  <c r="F86" i="101" s="1"/>
  <c r="E82" i="101"/>
  <c r="F82" i="101" s="1"/>
  <c r="E22" i="101"/>
  <c r="F22" i="101" s="1"/>
  <c r="E18" i="101"/>
  <c r="F18" i="101" s="1"/>
  <c r="E92" i="101"/>
  <c r="F92" i="101" s="1"/>
  <c r="E85" i="101"/>
  <c r="F85" i="101" s="1"/>
  <c r="E81" i="101"/>
  <c r="F81" i="101" s="1"/>
  <c r="E17" i="101"/>
  <c r="F17" i="101" s="1"/>
  <c r="E96" i="101"/>
  <c r="F96" i="101" s="1"/>
  <c r="E21" i="101"/>
  <c r="F21" i="101" s="1"/>
  <c r="E7" i="101"/>
  <c r="F7" i="101" s="1"/>
  <c r="E43" i="101"/>
  <c r="F43" i="101" s="1"/>
  <c r="E46" i="101"/>
  <c r="F46" i="101" s="1"/>
  <c r="E58" i="101"/>
  <c r="F58" i="101" s="1"/>
  <c r="E54" i="101"/>
  <c r="F54" i="101" s="1"/>
  <c r="E62" i="101"/>
  <c r="F62" i="101" s="1"/>
  <c r="E13" i="101"/>
  <c r="F13" i="101" s="1"/>
  <c r="E9" i="101"/>
  <c r="F9" i="101" s="1"/>
  <c r="E40" i="101"/>
  <c r="F40" i="101" s="1"/>
  <c r="E36" i="101"/>
  <c r="F36" i="101" s="1"/>
  <c r="E48" i="101"/>
  <c r="F48" i="101" s="1"/>
  <c r="E44" i="101"/>
  <c r="F44" i="101" s="1"/>
  <c r="E56" i="101"/>
  <c r="F56" i="101" s="1"/>
  <c r="E60" i="101"/>
  <c r="F60" i="101" s="1"/>
  <c r="E64" i="101"/>
  <c r="F64" i="101" s="1"/>
  <c r="E79" i="101"/>
  <c r="AA117" i="101" l="1"/>
  <c r="AI117" i="101"/>
  <c r="S117" i="101"/>
  <c r="M116" i="101"/>
  <c r="N108" i="101"/>
  <c r="N43" i="101"/>
  <c r="M50" i="101"/>
  <c r="M98" i="101"/>
  <c r="N90" i="101"/>
  <c r="N52" i="101"/>
  <c r="M59" i="101"/>
  <c r="M89" i="101"/>
  <c r="N81" i="101"/>
  <c r="N79" i="101"/>
  <c r="M80" i="101"/>
  <c r="M32" i="101"/>
  <c r="N24" i="101"/>
  <c r="M68" i="101"/>
  <c r="N60" i="101"/>
  <c r="M23" i="101"/>
  <c r="N15" i="101"/>
  <c r="N6" i="101"/>
  <c r="M14" i="101"/>
  <c r="M107" i="101"/>
  <c r="N99" i="101"/>
  <c r="M77" i="101"/>
  <c r="N69" i="101"/>
  <c r="N34" i="101"/>
  <c r="M41" i="101"/>
  <c r="E77" i="101"/>
  <c r="F69" i="101"/>
  <c r="AK116" i="101"/>
  <c r="AL108" i="101"/>
  <c r="AC116" i="101"/>
  <c r="AD108" i="101"/>
  <c r="E80" i="101"/>
  <c r="F79" i="101"/>
  <c r="C117" i="101"/>
  <c r="AK32" i="101"/>
  <c r="AL24" i="101"/>
  <c r="AK80" i="101"/>
  <c r="AL79" i="101"/>
  <c r="AC80" i="101"/>
  <c r="AD79" i="101"/>
  <c r="U80" i="101"/>
  <c r="V79" i="101"/>
  <c r="U77" i="101"/>
  <c r="V69" i="101"/>
  <c r="E32" i="101"/>
  <c r="U116" i="101"/>
  <c r="AK77" i="101"/>
  <c r="AC32" i="101"/>
  <c r="AC77" i="101"/>
  <c r="U32" i="101"/>
  <c r="U41" i="101"/>
  <c r="U50" i="101"/>
  <c r="AK59" i="101"/>
  <c r="E107" i="101"/>
  <c r="AK50" i="101"/>
  <c r="AC23" i="101"/>
  <c r="AK14" i="101"/>
  <c r="AC89" i="101"/>
  <c r="AK23" i="101"/>
  <c r="AK98" i="101"/>
  <c r="AC68" i="101"/>
  <c r="AC50" i="101"/>
  <c r="AC107" i="101"/>
  <c r="AC98" i="101"/>
  <c r="AC41" i="101"/>
  <c r="AK41" i="101"/>
  <c r="AC59" i="101"/>
  <c r="AC14" i="101"/>
  <c r="AK68" i="101"/>
  <c r="AK89" i="101"/>
  <c r="AK107" i="101"/>
  <c r="U14" i="101"/>
  <c r="U59" i="101"/>
  <c r="E116" i="101"/>
  <c r="U98" i="101"/>
  <c r="U89" i="101"/>
  <c r="U107" i="101"/>
  <c r="U68" i="101"/>
  <c r="U23" i="101"/>
  <c r="E23" i="101"/>
  <c r="E89" i="101"/>
  <c r="E98" i="101"/>
  <c r="E14" i="101"/>
  <c r="E59" i="101"/>
  <c r="E41" i="101"/>
  <c r="E68" i="101"/>
  <c r="E50" i="101"/>
  <c r="E117" i="101" l="1"/>
  <c r="A5" i="1"/>
  <c r="D1" i="101" l="1"/>
  <c r="E57" i="1" l="1"/>
  <c r="E58" i="1"/>
  <c r="E59" i="1"/>
  <c r="E55" i="1"/>
  <c r="E23" i="1"/>
  <c r="D60" i="1"/>
  <c r="E26" i="1"/>
  <c r="D26" i="1"/>
  <c r="D23" i="1" l="1"/>
  <c r="E60" i="1"/>
  <c r="D16" i="1"/>
  <c r="D17" i="1" s="1"/>
  <c r="D19" i="1" l="1"/>
  <c r="D24" i="1" s="1"/>
  <c r="E16" i="1"/>
  <c r="E17" i="1" s="1"/>
  <c r="E19" i="1" l="1"/>
  <c r="E24" i="1" s="1"/>
  <c r="D50" i="1"/>
  <c r="D51" i="1" s="1"/>
  <c r="E50" i="1" l="1"/>
  <c r="E51" i="1" s="1"/>
</calcChain>
</file>

<file path=xl/sharedStrings.xml><?xml version="1.0" encoding="utf-8"?>
<sst xmlns="http://schemas.openxmlformats.org/spreadsheetml/2006/main" count="18591" uniqueCount="2088">
  <si>
    <t>38301</t>
  </si>
  <si>
    <t>PALOUSE</t>
  </si>
  <si>
    <t>11001</t>
  </si>
  <si>
    <t>PASCO</t>
  </si>
  <si>
    <t>STEPTOE</t>
  </si>
  <si>
    <t>30303</t>
  </si>
  <si>
    <t>STEVENSON-CARSON</t>
  </si>
  <si>
    <t>31311</t>
  </si>
  <si>
    <t>SULTAN</t>
  </si>
  <si>
    <t>33202</t>
  </si>
  <si>
    <t>SUMMIT VALLEY</t>
  </si>
  <si>
    <t>COUPEVILLE</t>
  </si>
  <si>
    <t>05313</t>
  </si>
  <si>
    <t>BICKLETON</t>
  </si>
  <si>
    <t>37503</t>
  </si>
  <si>
    <t>BLAINE</t>
  </si>
  <si>
    <t>21234</t>
  </si>
  <si>
    <t>BOISTFORT</t>
  </si>
  <si>
    <t>CHEWELAH</t>
  </si>
  <si>
    <t>16049</t>
  </si>
  <si>
    <t>CHIMACUM</t>
  </si>
  <si>
    <t>02250</t>
  </si>
  <si>
    <t>CLARKSTON</t>
  </si>
  <si>
    <t>19404</t>
  </si>
  <si>
    <t>CLE ELUM-ROSLYN</t>
  </si>
  <si>
    <t>27400</t>
  </si>
  <si>
    <t>CLOVER PARK</t>
  </si>
  <si>
    <t>38300</t>
  </si>
  <si>
    <t>COLFAX</t>
  </si>
  <si>
    <t>36250</t>
  </si>
  <si>
    <t>LOPEZ</t>
  </si>
  <si>
    <t>WAPATO</t>
  </si>
  <si>
    <t>13146</t>
  </si>
  <si>
    <t>WARDEN</t>
  </si>
  <si>
    <t>06112</t>
  </si>
  <si>
    <t>WASHOUGAL</t>
  </si>
  <si>
    <t>01109</t>
  </si>
  <si>
    <t>MARYSVILLE</t>
  </si>
  <si>
    <t>14065</t>
  </si>
  <si>
    <t>32354</t>
  </si>
  <si>
    <t>MEAD</t>
  </si>
  <si>
    <t>32326</t>
  </si>
  <si>
    <t>MEDICAL LAKE</t>
  </si>
  <si>
    <t>17400</t>
  </si>
  <si>
    <t>MERCER ISLAND</t>
  </si>
  <si>
    <t>37505</t>
  </si>
  <si>
    <t>MERIDIAN</t>
  </si>
  <si>
    <t>24350</t>
  </si>
  <si>
    <t>18400</t>
  </si>
  <si>
    <t>NORTH KITSAP</t>
  </si>
  <si>
    <t>23403</t>
  </si>
  <si>
    <t>14005</t>
  </si>
  <si>
    <t>ABERDEEN</t>
  </si>
  <si>
    <t>21226</t>
  </si>
  <si>
    <t>ADNA</t>
  </si>
  <si>
    <t>22017</t>
  </si>
  <si>
    <t>ALMIRA</t>
  </si>
  <si>
    <t>31401</t>
  </si>
  <si>
    <t>STANWOOD</t>
  </si>
  <si>
    <t>11054</t>
  </si>
  <si>
    <t>STAR</t>
  </si>
  <si>
    <t>07035</t>
  </si>
  <si>
    <t>STARBUCK</t>
  </si>
  <si>
    <t>04069</t>
  </si>
  <si>
    <t>STEHEKIN</t>
  </si>
  <si>
    <t>27001</t>
  </si>
  <si>
    <t>38304</t>
  </si>
  <si>
    <t>16048</t>
  </si>
  <si>
    <t>METHOW VALLEY</t>
  </si>
  <si>
    <t>30031</t>
  </si>
  <si>
    <t>MILL A</t>
  </si>
  <si>
    <t>31103</t>
  </si>
  <si>
    <t>MONROE</t>
  </si>
  <si>
    <t>14066</t>
  </si>
  <si>
    <t>MONTESANO</t>
  </si>
  <si>
    <t>21214</t>
  </si>
  <si>
    <t>SKAMANIA</t>
  </si>
  <si>
    <t>17404</t>
  </si>
  <si>
    <t>SKYKOMISH</t>
  </si>
  <si>
    <t>31201</t>
  </si>
  <si>
    <t>SNOHOMISH</t>
  </si>
  <si>
    <t>17410</t>
  </si>
  <si>
    <t>SNOQUALMIE VALLEY</t>
  </si>
  <si>
    <t>13156</t>
  </si>
  <si>
    <t>SOAP LAKE</t>
  </si>
  <si>
    <t>25118</t>
  </si>
  <si>
    <t>SOUTH BEND</t>
  </si>
  <si>
    <t>30029</t>
  </si>
  <si>
    <t>MOUNT PLEASANT</t>
  </si>
  <si>
    <t>29320</t>
  </si>
  <si>
    <t>31006</t>
  </si>
  <si>
    <t>MUKILTEO</t>
  </si>
  <si>
    <t>39003</t>
  </si>
  <si>
    <t>NACHES VALLEY</t>
  </si>
  <si>
    <t>21014</t>
  </si>
  <si>
    <t>NAPAVINE</t>
  </si>
  <si>
    <t>25155</t>
  </si>
  <si>
    <t>24014</t>
  </si>
  <si>
    <t>NESPELEM</t>
  </si>
  <si>
    <t>26056</t>
  </si>
  <si>
    <t>NEWPORT</t>
  </si>
  <si>
    <t>32325</t>
  </si>
  <si>
    <t>NINE MILE FALLS</t>
  </si>
  <si>
    <t>37506</t>
  </si>
  <si>
    <t>14172</t>
  </si>
  <si>
    <t>OCOSTA</t>
  </si>
  <si>
    <t>22105</t>
  </si>
  <si>
    <t>ODESSA</t>
  </si>
  <si>
    <t>24105</t>
  </si>
  <si>
    <t>OKANOGAN</t>
  </si>
  <si>
    <t>34111</t>
  </si>
  <si>
    <t>OLYMPIA</t>
  </si>
  <si>
    <t>24019</t>
  </si>
  <si>
    <t>OMAK</t>
  </si>
  <si>
    <t>21300</t>
  </si>
  <si>
    <t>ONALASKA</t>
  </si>
  <si>
    <t>33030</t>
  </si>
  <si>
    <t>ONION CREEK</t>
  </si>
  <si>
    <t>28137</t>
  </si>
  <si>
    <t>32123</t>
  </si>
  <si>
    <t>ORCHARD PRAIRIE</t>
  </si>
  <si>
    <t>06101</t>
  </si>
  <si>
    <t>LACENTER</t>
  </si>
  <si>
    <t>38126</t>
  </si>
  <si>
    <t>04129</t>
  </si>
  <si>
    <t>LAKE CHELAN</t>
  </si>
  <si>
    <t>31004</t>
  </si>
  <si>
    <t>LAKE STEVENS</t>
  </si>
  <si>
    <t>17414</t>
  </si>
  <si>
    <t>LAKE WASHINGTON</t>
  </si>
  <si>
    <t>31306</t>
  </si>
  <si>
    <t>LAKEWOOD</t>
  </si>
  <si>
    <t>38264</t>
  </si>
  <si>
    <t>36400</t>
  </si>
  <si>
    <t>33115</t>
  </si>
  <si>
    <t>COLVILLE</t>
  </si>
  <si>
    <t>29011</t>
  </si>
  <si>
    <t>CONCRETE</t>
  </si>
  <si>
    <t>29317</t>
  </si>
  <si>
    <t>CONWAY</t>
  </si>
  <si>
    <t>14099</t>
  </si>
  <si>
    <t>COSMOPOLIS</t>
  </si>
  <si>
    <t>13151</t>
  </si>
  <si>
    <t>15204</t>
  </si>
  <si>
    <t>CRESCENT</t>
  </si>
  <si>
    <t>22073</t>
  </si>
  <si>
    <t>CRESTON</t>
  </si>
  <si>
    <t>COLLEGE PLACE</t>
  </si>
  <si>
    <t>38306</t>
  </si>
  <si>
    <t>COLTON</t>
  </si>
  <si>
    <t>33206</t>
  </si>
  <si>
    <t>04228</t>
  </si>
  <si>
    <t>CASCADE</t>
  </si>
  <si>
    <t>04222</t>
  </si>
  <si>
    <t>CASHMERE</t>
  </si>
  <si>
    <t>08401</t>
  </si>
  <si>
    <t>CASTLE ROCK</t>
  </si>
  <si>
    <t>20215</t>
  </si>
  <si>
    <t>CENTERVILLE</t>
  </si>
  <si>
    <t>10065</t>
  </si>
  <si>
    <t>ORIENT</t>
  </si>
  <si>
    <t>09013</t>
  </si>
  <si>
    <t>ORONDO</t>
  </si>
  <si>
    <t>24410</t>
  </si>
  <si>
    <t>OROVILLE</t>
  </si>
  <si>
    <t>27344</t>
  </si>
  <si>
    <t>ORTING</t>
  </si>
  <si>
    <t>01147</t>
  </si>
  <si>
    <t>OTHELLO</t>
  </si>
  <si>
    <t>09102</t>
  </si>
  <si>
    <t>PALISADES</t>
  </si>
  <si>
    <t>District</t>
  </si>
  <si>
    <t>WINLOCK</t>
  </si>
  <si>
    <t>14117</t>
  </si>
  <si>
    <t>WISHKAH VALLEY</t>
  </si>
  <si>
    <t>20094</t>
  </si>
  <si>
    <t>WISHRAM</t>
  </si>
  <si>
    <t>08404</t>
  </si>
  <si>
    <t>WOODLAND</t>
  </si>
  <si>
    <t>39007</t>
  </si>
  <si>
    <t>YAKIMA</t>
  </si>
  <si>
    <t>34002</t>
  </si>
  <si>
    <t>29103</t>
  </si>
  <si>
    <t>ANACORTES</t>
  </si>
  <si>
    <t>TOUCHET</t>
  </si>
  <si>
    <t>08130</t>
  </si>
  <si>
    <t>TOUTLE LAKE</t>
  </si>
  <si>
    <t>20400</t>
  </si>
  <si>
    <t>TROUT LAKE</t>
  </si>
  <si>
    <t>34033</t>
  </si>
  <si>
    <t>TUMWATER</t>
  </si>
  <si>
    <t>39002</t>
  </si>
  <si>
    <t>UNION GAP</t>
  </si>
  <si>
    <t>27083</t>
  </si>
  <si>
    <t>BATTLE GROUND</t>
  </si>
  <si>
    <t>17405</t>
  </si>
  <si>
    <t>BELLEVUE</t>
  </si>
  <si>
    <t>37501</t>
  </si>
  <si>
    <t>BELLINGHAM</t>
  </si>
  <si>
    <t>01122</t>
  </si>
  <si>
    <t>BENGE</t>
  </si>
  <si>
    <t>27403</t>
  </si>
  <si>
    <t>BETHEL</t>
  </si>
  <si>
    <t>20203</t>
  </si>
  <si>
    <t>MORTON</t>
  </si>
  <si>
    <t>13161</t>
  </si>
  <si>
    <t>MOSES LAKE</t>
  </si>
  <si>
    <t>21206</t>
  </si>
  <si>
    <t>MOSSYROCK</t>
  </si>
  <si>
    <t>39209</t>
  </si>
  <si>
    <t>MOUNT ADAMS</t>
  </si>
  <si>
    <t>37507</t>
  </si>
  <si>
    <t>MOUNT BAKER</t>
  </si>
  <si>
    <t>NOOKSACK VALLEY</t>
  </si>
  <si>
    <t>14064</t>
  </si>
  <si>
    <t>NORTH BEACH</t>
  </si>
  <si>
    <t>11051</t>
  </si>
  <si>
    <t>NORTH FRANKLIN</t>
  </si>
  <si>
    <t>GRAND COULEE DAM</t>
  </si>
  <si>
    <t>39200</t>
  </si>
  <si>
    <t>GRANDVIEW</t>
  </si>
  <si>
    <t>39204</t>
  </si>
  <si>
    <t>GRANGER</t>
  </si>
  <si>
    <t>DAMMAN</t>
  </si>
  <si>
    <t>31330</t>
  </si>
  <si>
    <t>DARRINGTON</t>
  </si>
  <si>
    <t>22207</t>
  </si>
  <si>
    <t>DAVENPORT</t>
  </si>
  <si>
    <t>07002</t>
  </si>
  <si>
    <t>DAYTON</t>
  </si>
  <si>
    <t>32361</t>
  </si>
  <si>
    <t>39090</t>
  </si>
  <si>
    <t>09206</t>
  </si>
  <si>
    <t>EASTMONT</t>
  </si>
  <si>
    <t>19028</t>
  </si>
  <si>
    <t>EASTON</t>
  </si>
  <si>
    <t>27404</t>
  </si>
  <si>
    <t>EATONVILLE</t>
  </si>
  <si>
    <t>31015</t>
  </si>
  <si>
    <t>EDMONDS</t>
  </si>
  <si>
    <t>19401</t>
  </si>
  <si>
    <t>ELLENSBURG</t>
  </si>
  <si>
    <t>QUILCENE</t>
  </si>
  <si>
    <t>05402</t>
  </si>
  <si>
    <t>QUILLAYUTE VALLEY</t>
  </si>
  <si>
    <t>14097</t>
  </si>
  <si>
    <t>27320</t>
  </si>
  <si>
    <t>SUMNER</t>
  </si>
  <si>
    <t>39201</t>
  </si>
  <si>
    <t>SUNNYSIDE</t>
  </si>
  <si>
    <t>27010</t>
  </si>
  <si>
    <t>TACOMA</t>
  </si>
  <si>
    <t>14077</t>
  </si>
  <si>
    <t>TAHOLAH</t>
  </si>
  <si>
    <t>17409</t>
  </si>
  <si>
    <t>TAHOMA</t>
  </si>
  <si>
    <t>38265</t>
  </si>
  <si>
    <t>TEKOA</t>
  </si>
  <si>
    <t>34402</t>
  </si>
  <si>
    <t>TENINO</t>
  </si>
  <si>
    <t>19400</t>
  </si>
  <si>
    <t>THORP</t>
  </si>
  <si>
    <t>21237</t>
  </si>
  <si>
    <t>TOLEDO</t>
  </si>
  <si>
    <t>24404</t>
  </si>
  <si>
    <t>TONASKET</t>
  </si>
  <si>
    <t>39202</t>
  </si>
  <si>
    <t>TOPPENISH</t>
  </si>
  <si>
    <t>36300</t>
  </si>
  <si>
    <t>RIVERVIEW</t>
  </si>
  <si>
    <t>34401</t>
  </si>
  <si>
    <t>ROCHESTER</t>
  </si>
  <si>
    <t>20403</t>
  </si>
  <si>
    <t>ROOSEVELT</t>
  </si>
  <si>
    <t>38320</t>
  </si>
  <si>
    <t>ROSALIA</t>
  </si>
  <si>
    <t>13160</t>
  </si>
  <si>
    <t>UNIVERSITY PLACE</t>
  </si>
  <si>
    <t>33070</t>
  </si>
  <si>
    <t>VALLEY</t>
  </si>
  <si>
    <t>06037</t>
  </si>
  <si>
    <t>18401</t>
  </si>
  <si>
    <t>CENTRAL KITSAP</t>
  </si>
  <si>
    <t>32356</t>
  </si>
  <si>
    <t>CENTRAL VALLEY</t>
  </si>
  <si>
    <t>21401</t>
  </si>
  <si>
    <t>CENTRALIA</t>
  </si>
  <si>
    <t>21302</t>
  </si>
  <si>
    <t>CHEHALIS</t>
  </si>
  <si>
    <t>32360</t>
  </si>
  <si>
    <t>CHENEY</t>
  </si>
  <si>
    <t>33036</t>
  </si>
  <si>
    <t>KITTITAS</t>
  </si>
  <si>
    <t>20402</t>
  </si>
  <si>
    <t>KLICKITAT</t>
  </si>
  <si>
    <t>29311</t>
  </si>
  <si>
    <t>LA CONNER</t>
  </si>
  <si>
    <t>WENATCHEE</t>
  </si>
  <si>
    <t>32363</t>
  </si>
  <si>
    <t>39208</t>
  </si>
  <si>
    <t>21303</t>
  </si>
  <si>
    <t>WHITE PASS</t>
  </si>
  <si>
    <t>27416</t>
  </si>
  <si>
    <t>WHITE RIVER</t>
  </si>
  <si>
    <t>20405</t>
  </si>
  <si>
    <t>WHITE SALMON</t>
  </si>
  <si>
    <t>22200</t>
  </si>
  <si>
    <t>WILBUR</t>
  </si>
  <si>
    <t>25160</t>
  </si>
  <si>
    <t>WILLAPA VALLEY</t>
  </si>
  <si>
    <t>13167</t>
  </si>
  <si>
    <t>WILSON CREEK</t>
  </si>
  <si>
    <t>21232</t>
  </si>
  <si>
    <t>31332</t>
  </si>
  <si>
    <t>YELM</t>
  </si>
  <si>
    <t>NORTH MASON</t>
  </si>
  <si>
    <t>25200</t>
  </si>
  <si>
    <t>NORTH RIVER</t>
  </si>
  <si>
    <t>34003</t>
  </si>
  <si>
    <t>NORTH THURSTON</t>
  </si>
  <si>
    <t>33211</t>
  </si>
  <si>
    <t>NORTHPORT</t>
  </si>
  <si>
    <t>17417</t>
  </si>
  <si>
    <t>NORTHSHORE</t>
  </si>
  <si>
    <t>15201</t>
  </si>
  <si>
    <t>OAK HARBOR</t>
  </si>
  <si>
    <t>38324</t>
  </si>
  <si>
    <t>OAKESDALE</t>
  </si>
  <si>
    <t>14400</t>
  </si>
  <si>
    <t>OAKVILLE</t>
  </si>
  <si>
    <t>25101</t>
  </si>
  <si>
    <t>OCEAN BEACH</t>
  </si>
  <si>
    <t>17401</t>
  </si>
  <si>
    <t>HIGHLINE</t>
  </si>
  <si>
    <t>06098</t>
  </si>
  <si>
    <t>HOCKINSON</t>
  </si>
  <si>
    <t>23404</t>
  </si>
  <si>
    <t>HOOD CANAL</t>
  </si>
  <si>
    <t>14028</t>
  </si>
  <si>
    <t>HOQUIAM</t>
  </si>
  <si>
    <t>10070</t>
  </si>
  <si>
    <t>INCHELIUM</t>
  </si>
  <si>
    <t>31063</t>
  </si>
  <si>
    <t>INDEX</t>
  </si>
  <si>
    <t>17411</t>
  </si>
  <si>
    <t>ISSAQUAH</t>
  </si>
  <si>
    <t>11056</t>
  </si>
  <si>
    <t>KAHLOTUS</t>
  </si>
  <si>
    <t>03116</t>
  </si>
  <si>
    <t>PROSSER</t>
  </si>
  <si>
    <t>38267</t>
  </si>
  <si>
    <t>PULLMAN</t>
  </si>
  <si>
    <t>27003</t>
  </si>
  <si>
    <t>PUYALLUP</t>
  </si>
  <si>
    <t>16020</t>
  </si>
  <si>
    <t>32414</t>
  </si>
  <si>
    <t>DEER PARK</t>
  </si>
  <si>
    <t>27343</t>
  </si>
  <si>
    <t>DIERINGER</t>
  </si>
  <si>
    <t>36101</t>
  </si>
  <si>
    <t>DIXIE</t>
  </si>
  <si>
    <t>QUINAULT</t>
  </si>
  <si>
    <t>13144</t>
  </si>
  <si>
    <t>QUINCY</t>
  </si>
  <si>
    <t>34307</t>
  </si>
  <si>
    <t>RAINIER</t>
  </si>
  <si>
    <t>25116</t>
  </si>
  <si>
    <t>RAYMOND</t>
  </si>
  <si>
    <t>22009</t>
  </si>
  <si>
    <t>REARDAN</t>
  </si>
  <si>
    <t>17403</t>
  </si>
  <si>
    <t>RENTON</t>
  </si>
  <si>
    <t>10309</t>
  </si>
  <si>
    <t>REPUBLIC</t>
  </si>
  <si>
    <t>03400</t>
  </si>
  <si>
    <t>RICHLAND</t>
  </si>
  <si>
    <t>06122</t>
  </si>
  <si>
    <t>RIDGEFIELD</t>
  </si>
  <si>
    <t>01160</t>
  </si>
  <si>
    <t>RITZVILLE</t>
  </si>
  <si>
    <t>32416</t>
  </si>
  <si>
    <t>RIVERSIDE</t>
  </si>
  <si>
    <t>17407</t>
  </si>
  <si>
    <t>PORT ANGELES</t>
  </si>
  <si>
    <t>16050</t>
  </si>
  <si>
    <t>PORT TOWNSEND</t>
  </si>
  <si>
    <t>36402</t>
  </si>
  <si>
    <t>PRESCOTT</t>
  </si>
  <si>
    <t>24122</t>
  </si>
  <si>
    <t>Line #</t>
  </si>
  <si>
    <t>PATEROS</t>
  </si>
  <si>
    <t>03050</t>
  </si>
  <si>
    <t>PATERSON</t>
  </si>
  <si>
    <t>21301</t>
  </si>
  <si>
    <t>PE ELL</t>
  </si>
  <si>
    <t>27401</t>
  </si>
  <si>
    <t>PENINSULA</t>
  </si>
  <si>
    <t>23402</t>
  </si>
  <si>
    <t>PIONEER</t>
  </si>
  <si>
    <t>12110</t>
  </si>
  <si>
    <t>POMEROY</t>
  </si>
  <si>
    <t>05121</t>
  </si>
  <si>
    <t>10050</t>
  </si>
  <si>
    <t>CURLEW</t>
  </si>
  <si>
    <t>26059</t>
  </si>
  <si>
    <t>CUSICK</t>
  </si>
  <si>
    <t>19007</t>
  </si>
  <si>
    <t>39205</t>
  </si>
  <si>
    <t>ZILLAH</t>
  </si>
  <si>
    <t>14068</t>
  </si>
  <si>
    <t>ELMA</t>
  </si>
  <si>
    <t>38308</t>
  </si>
  <si>
    <t>ENDICOTT</t>
  </si>
  <si>
    <t>04127</t>
  </si>
  <si>
    <t>ENTIAT</t>
  </si>
  <si>
    <t>17216</t>
  </si>
  <si>
    <t>ENUMCLAW</t>
  </si>
  <si>
    <t>13165</t>
  </si>
  <si>
    <t>EPHRATA</t>
  </si>
  <si>
    <t>21036</t>
  </si>
  <si>
    <t>37502</t>
  </si>
  <si>
    <t>FERNDALE</t>
  </si>
  <si>
    <t>27417</t>
  </si>
  <si>
    <t>FIFE</t>
  </si>
  <si>
    <t>03053</t>
  </si>
  <si>
    <t>FINLEY</t>
  </si>
  <si>
    <t>27402</t>
  </si>
  <si>
    <t>FRANKLIN PIERCE</t>
  </si>
  <si>
    <t>32358</t>
  </si>
  <si>
    <t>FREEMAN</t>
  </si>
  <si>
    <t>38302</t>
  </si>
  <si>
    <t>GARFIELD</t>
  </si>
  <si>
    <t>20401</t>
  </si>
  <si>
    <t>GLENWOOD</t>
  </si>
  <si>
    <t>20404</t>
  </si>
  <si>
    <t>GOLDENDALE</t>
  </si>
  <si>
    <t>13301</t>
  </si>
  <si>
    <t>Special Education Resources Data</t>
  </si>
  <si>
    <t>GRANITE FALLS</t>
  </si>
  <si>
    <t>23054</t>
  </si>
  <si>
    <t>GRAPEVIEW</t>
  </si>
  <si>
    <t>32312</t>
  </si>
  <si>
    <t>GREAT NORTHERN</t>
  </si>
  <si>
    <t>06103</t>
  </si>
  <si>
    <t>GREEN MOUNTAIN</t>
  </si>
  <si>
    <t>34324</t>
  </si>
  <si>
    <t>GRIFFIN</t>
  </si>
  <si>
    <t>22204</t>
  </si>
  <si>
    <t>HARRINGTON</t>
  </si>
  <si>
    <t>39203</t>
  </si>
  <si>
    <t>HIGHLAND</t>
  </si>
  <si>
    <t>TUKWILA</t>
  </si>
  <si>
    <t>08402</t>
  </si>
  <si>
    <t>KALAMA</t>
  </si>
  <si>
    <t>10003</t>
  </si>
  <si>
    <t>KELLER</t>
  </si>
  <si>
    <t>08458</t>
  </si>
  <si>
    <t>KELSO</t>
  </si>
  <si>
    <t>03017</t>
  </si>
  <si>
    <t>KENNEWICK</t>
  </si>
  <si>
    <t>17415</t>
  </si>
  <si>
    <t>LAMONT</t>
  </si>
  <si>
    <t>32362</t>
  </si>
  <si>
    <t>LIBERTY</t>
  </si>
  <si>
    <t>01158</t>
  </si>
  <si>
    <t>LIND</t>
  </si>
  <si>
    <t>08122</t>
  </si>
  <si>
    <t>LONGVIEW</t>
  </si>
  <si>
    <t>33183</t>
  </si>
  <si>
    <t>LOON LAKE</t>
  </si>
  <si>
    <t>28144</t>
  </si>
  <si>
    <t>31016</t>
  </si>
  <si>
    <t>ARLINGTON</t>
  </si>
  <si>
    <t>02420</t>
  </si>
  <si>
    <t>17408</t>
  </si>
  <si>
    <t>AUBURN</t>
  </si>
  <si>
    <t>18303</t>
  </si>
  <si>
    <t>06119</t>
  </si>
  <si>
    <t>KENT</t>
  </si>
  <si>
    <t>33212</t>
  </si>
  <si>
    <t>KETTLE FALLS</t>
  </si>
  <si>
    <t>03052</t>
  </si>
  <si>
    <t>19403</t>
  </si>
  <si>
    <t>COULEE-HARTLINE</t>
  </si>
  <si>
    <t>WELLPINIT</t>
  </si>
  <si>
    <t>04246</t>
  </si>
  <si>
    <t>20406</t>
  </si>
  <si>
    <t>LYLE</t>
  </si>
  <si>
    <t>37504</t>
  </si>
  <si>
    <t>LYNDEN</t>
  </si>
  <si>
    <t>39120</t>
  </si>
  <si>
    <t>MABTON</t>
  </si>
  <si>
    <t>09207</t>
  </si>
  <si>
    <t>MANSFIELD</t>
  </si>
  <si>
    <t>04019</t>
  </si>
  <si>
    <t>MANSON</t>
  </si>
  <si>
    <t>23311</t>
  </si>
  <si>
    <t>33207</t>
  </si>
  <si>
    <t>MARY WALKER</t>
  </si>
  <si>
    <t>31025</t>
  </si>
  <si>
    <t>VANCOUVER</t>
  </si>
  <si>
    <t>17402</t>
  </si>
  <si>
    <t>VASHON ISLAND</t>
  </si>
  <si>
    <t>35200</t>
  </si>
  <si>
    <t>WAHKIAKUM</t>
  </si>
  <si>
    <t>13073</t>
  </si>
  <si>
    <t>WAHLUKE</t>
  </si>
  <si>
    <t>36401</t>
  </si>
  <si>
    <t>WAITSBURG</t>
  </si>
  <si>
    <t>36140</t>
  </si>
  <si>
    <t>WALLA WALLA</t>
  </si>
  <si>
    <t>39207</t>
  </si>
  <si>
    <t>EVALINE</t>
  </si>
  <si>
    <t>31002</t>
  </si>
  <si>
    <t>EVERETT</t>
  </si>
  <si>
    <t>06114</t>
  </si>
  <si>
    <t>33205</t>
  </si>
  <si>
    <t>17210</t>
  </si>
  <si>
    <t>FEDERAL WAY</t>
  </si>
  <si>
    <t>WASHTUCNA</t>
  </si>
  <si>
    <t>09209</t>
  </si>
  <si>
    <t>WATERVILLE</t>
  </si>
  <si>
    <t>33049</t>
  </si>
  <si>
    <t>Account 7121 - Revenue From Other Districts</t>
  </si>
  <si>
    <t>18100</t>
  </si>
  <si>
    <t>BREMERTON</t>
  </si>
  <si>
    <t>24111</t>
  </si>
  <si>
    <t>BREWSTER</t>
  </si>
  <si>
    <t>09075</t>
  </si>
  <si>
    <t>BRIDGEPORT</t>
  </si>
  <si>
    <t>16046</t>
  </si>
  <si>
    <t>BRINNON</t>
  </si>
  <si>
    <t>29100</t>
  </si>
  <si>
    <t>BURLINGTON EDISON</t>
  </si>
  <si>
    <t>06117</t>
  </si>
  <si>
    <t>CAMAS</t>
  </si>
  <si>
    <t>05401</t>
  </si>
  <si>
    <t>CAPE FLATTERY</t>
  </si>
  <si>
    <t>27019</t>
  </si>
  <si>
    <t>CARBONADO</t>
  </si>
  <si>
    <t>SPOKANE</t>
  </si>
  <si>
    <t>22008</t>
  </si>
  <si>
    <t>SPRAGUE</t>
  </si>
  <si>
    <t>38322</t>
  </si>
  <si>
    <t>ST JOHN</t>
  </si>
  <si>
    <t>ROYAL</t>
  </si>
  <si>
    <t>28149</t>
  </si>
  <si>
    <t>14104</t>
  </si>
  <si>
    <t>SATSOP</t>
  </si>
  <si>
    <t>17001</t>
  </si>
  <si>
    <t>SEATTLE</t>
  </si>
  <si>
    <t>29101</t>
  </si>
  <si>
    <t>SEDRO WOOLLEY</t>
  </si>
  <si>
    <t>39119</t>
  </si>
  <si>
    <t>SELAH</t>
  </si>
  <si>
    <t>26070</t>
  </si>
  <si>
    <t>SELKIRK</t>
  </si>
  <si>
    <t>05323</t>
  </si>
  <si>
    <t>SEQUIM</t>
  </si>
  <si>
    <t>28010</t>
  </si>
  <si>
    <t>SHAW</t>
  </si>
  <si>
    <t>23309</t>
  </si>
  <si>
    <t>SHELTON</t>
  </si>
  <si>
    <t>17412</t>
  </si>
  <si>
    <t>SHORELINE</t>
  </si>
  <si>
    <t>30002</t>
  </si>
  <si>
    <t>17406</t>
  </si>
  <si>
    <t>18402</t>
  </si>
  <si>
    <t>SOUTH KITSAP</t>
  </si>
  <si>
    <t>15206</t>
  </si>
  <si>
    <t>SOUTH WHIDBEY</t>
  </si>
  <si>
    <t>23042</t>
  </si>
  <si>
    <t>SOUTHSIDE</t>
  </si>
  <si>
    <t>32081</t>
  </si>
  <si>
    <t>MC CLEARY</t>
  </si>
  <si>
    <t>BAINBRIDGE</t>
  </si>
  <si>
    <t>MARY M KNIGHT</t>
  </si>
  <si>
    <t>NASELLE GRAYS RIV</t>
  </si>
  <si>
    <t>STEILACOOM HIST.</t>
  </si>
  <si>
    <t>SAN JUAN</t>
  </si>
  <si>
    <t>MT VERNON</t>
  </si>
  <si>
    <t>LACROSSE JOINT</t>
  </si>
  <si>
    <t>Transfer of Special Ed Funding From Other Districts</t>
  </si>
  <si>
    <t>ASOTIN</t>
  </si>
  <si>
    <t>CCDDD</t>
  </si>
  <si>
    <t>Account 5329 - Federal Impact Aid</t>
  </si>
  <si>
    <t>Total</t>
  </si>
  <si>
    <t>34974</t>
  </si>
  <si>
    <t>Aberdeen</t>
  </si>
  <si>
    <t>Adna</t>
  </si>
  <si>
    <t>Almira</t>
  </si>
  <si>
    <t>Anacortes</t>
  </si>
  <si>
    <t>Arlington</t>
  </si>
  <si>
    <t>Asotin-Anatone</t>
  </si>
  <si>
    <t>Auburn</t>
  </si>
  <si>
    <t>Bainbridge Island</t>
  </si>
  <si>
    <t>Battle Ground</t>
  </si>
  <si>
    <t>Bellevue</t>
  </si>
  <si>
    <t>Bellingham</t>
  </si>
  <si>
    <t>Benge</t>
  </si>
  <si>
    <t>Bethel</t>
  </si>
  <si>
    <t>Bickleton</t>
  </si>
  <si>
    <t>Blaine</t>
  </si>
  <si>
    <t>Boistfort</t>
  </si>
  <si>
    <t>Bremerton</t>
  </si>
  <si>
    <t>Brewster</t>
  </si>
  <si>
    <t>Bridgeport</t>
  </si>
  <si>
    <t>Brinnon</t>
  </si>
  <si>
    <t>Burlington-Edison</t>
  </si>
  <si>
    <t>Camas</t>
  </si>
  <si>
    <t>Cape Flattery</t>
  </si>
  <si>
    <t>Cascade</t>
  </si>
  <si>
    <t>Cashmere</t>
  </si>
  <si>
    <t>Castle Rock</t>
  </si>
  <si>
    <t>Central Kitsap</t>
  </si>
  <si>
    <t>Central Valley</t>
  </si>
  <si>
    <t>Centralia</t>
  </si>
  <si>
    <t>Chehalis</t>
  </si>
  <si>
    <t>Cheney</t>
  </si>
  <si>
    <t>Chewelah</t>
  </si>
  <si>
    <t>Chimacum</t>
  </si>
  <si>
    <t>Clarkston</t>
  </si>
  <si>
    <t>Cle Elum-Roslyn</t>
  </si>
  <si>
    <t>Clover Park</t>
  </si>
  <si>
    <t>Colfax</t>
  </si>
  <si>
    <t>College Place</t>
  </si>
  <si>
    <t>Colton</t>
  </si>
  <si>
    <t>Colville</t>
  </si>
  <si>
    <t>Concrete</t>
  </si>
  <si>
    <t>Conway</t>
  </si>
  <si>
    <t>Cosmopolis</t>
  </si>
  <si>
    <t>Coupeville</t>
  </si>
  <si>
    <t>Crescent</t>
  </si>
  <si>
    <t>Creston</t>
  </si>
  <si>
    <t>Curlew</t>
  </si>
  <si>
    <t>Cusick</t>
  </si>
  <si>
    <t>Damman</t>
  </si>
  <si>
    <t>Darrington</t>
  </si>
  <si>
    <t>Davenport</t>
  </si>
  <si>
    <t>Deer Park</t>
  </si>
  <si>
    <t>Dieringer</t>
  </si>
  <si>
    <t>Eastmont</t>
  </si>
  <si>
    <t>Easton</t>
  </si>
  <si>
    <t>Eatonville</t>
  </si>
  <si>
    <t>Edmonds</t>
  </si>
  <si>
    <t>Ellensburg</t>
  </si>
  <si>
    <t>Elma</t>
  </si>
  <si>
    <t>Endicott</t>
  </si>
  <si>
    <t>Entiat</t>
  </si>
  <si>
    <t>Enumclaw</t>
  </si>
  <si>
    <t>Ephrata</t>
  </si>
  <si>
    <t>Evaline</t>
  </si>
  <si>
    <t>Everett</t>
  </si>
  <si>
    <t>Federal Way</t>
  </si>
  <si>
    <t>Ferndale</t>
  </si>
  <si>
    <t>Fife</t>
  </si>
  <si>
    <t>Finley</t>
  </si>
  <si>
    <t>Franklin Pierce</t>
  </si>
  <si>
    <t>Freeman</t>
  </si>
  <si>
    <t>Garfield</t>
  </si>
  <si>
    <t>Grand Coulee Dam</t>
  </si>
  <si>
    <t>Grandview</t>
  </si>
  <si>
    <t>Granger</t>
  </si>
  <si>
    <t>Granite Falls</t>
  </si>
  <si>
    <t>Grapeview</t>
  </si>
  <si>
    <t>Great Northern</t>
  </si>
  <si>
    <t>Griffin</t>
  </si>
  <si>
    <t>Harrington</t>
  </si>
  <si>
    <t>Highland</t>
  </si>
  <si>
    <t>Highline</t>
  </si>
  <si>
    <t>Hockinson</t>
  </si>
  <si>
    <t>Hood Canal</t>
  </si>
  <si>
    <t>Hoquiam</t>
  </si>
  <si>
    <t>Inchelium</t>
  </si>
  <si>
    <t>Index</t>
  </si>
  <si>
    <t>Issaquah</t>
  </si>
  <si>
    <t>Keller</t>
  </si>
  <si>
    <t>Kelso</t>
  </si>
  <si>
    <t>Kennewick</t>
  </si>
  <si>
    <t>Kent</t>
  </si>
  <si>
    <t>Kettle Falls</t>
  </si>
  <si>
    <t>Kittitas</t>
  </si>
  <si>
    <t>La Center</t>
  </si>
  <si>
    <t>La Conner</t>
  </si>
  <si>
    <t>Lacrosse</t>
  </si>
  <si>
    <t>Lake Chelan</t>
  </si>
  <si>
    <t>Lake Stevens</t>
  </si>
  <si>
    <t>Lake Washington</t>
  </si>
  <si>
    <t>Lakewood</t>
  </si>
  <si>
    <t>Lamont</t>
  </si>
  <si>
    <t>Liberty</t>
  </si>
  <si>
    <t>Lind</t>
  </si>
  <si>
    <t>Longview</t>
  </si>
  <si>
    <t>Loon Lake</t>
  </si>
  <si>
    <t>Lynden</t>
  </si>
  <si>
    <t>Mabton</t>
  </si>
  <si>
    <t>Mansfield</t>
  </si>
  <si>
    <t>Manson</t>
  </si>
  <si>
    <t>Mary Walker</t>
  </si>
  <si>
    <t>Marysville</t>
  </si>
  <si>
    <t>Mead</t>
  </si>
  <si>
    <t>Medical Lake</t>
  </si>
  <si>
    <t>Mercer Island</t>
  </si>
  <si>
    <t>Meridian</t>
  </si>
  <si>
    <t>Monroe</t>
  </si>
  <si>
    <t>Montesano</t>
  </si>
  <si>
    <t>Morton</t>
  </si>
  <si>
    <t>Moses Lake</t>
  </si>
  <si>
    <t>Mossyrock</t>
  </si>
  <si>
    <t>Mount Adams</t>
  </si>
  <si>
    <t>Mount Baker</t>
  </si>
  <si>
    <t>Mount Vernon</t>
  </si>
  <si>
    <t>Mukilteo</t>
  </si>
  <si>
    <t>Naches Valley</t>
  </si>
  <si>
    <t>Napavine</t>
  </si>
  <si>
    <t>Nespelem</t>
  </si>
  <si>
    <t>Newport</t>
  </si>
  <si>
    <t>Nine Mile Falls</t>
  </si>
  <si>
    <t>Nooksack Valley</t>
  </si>
  <si>
    <t>North Beach</t>
  </si>
  <si>
    <t>North Franklin</t>
  </si>
  <si>
    <t>North Kitsap</t>
  </si>
  <si>
    <t>North Mason</t>
  </si>
  <si>
    <t>North River</t>
  </si>
  <si>
    <t>North Thurston</t>
  </si>
  <si>
    <t>Northport</t>
  </si>
  <si>
    <t>Northshore</t>
  </si>
  <si>
    <t>Oak Harbor</t>
  </si>
  <si>
    <t>Oakesdale</t>
  </si>
  <si>
    <t>Oakville</t>
  </si>
  <si>
    <t>Ocosta</t>
  </si>
  <si>
    <t>Odessa</t>
  </si>
  <si>
    <t>Okanogan</t>
  </si>
  <si>
    <t>Olympia</t>
  </si>
  <si>
    <t>Omak</t>
  </si>
  <si>
    <t>Onalaska</t>
  </si>
  <si>
    <t>Onion Creek</t>
  </si>
  <si>
    <t>Orcas Island</t>
  </si>
  <si>
    <t>Orchard Prairie</t>
  </si>
  <si>
    <t>Orient</t>
  </si>
  <si>
    <t>Oroville</t>
  </si>
  <si>
    <t>Orting</t>
  </si>
  <si>
    <t>Othello</t>
  </si>
  <si>
    <t>Palisades</t>
  </si>
  <si>
    <t>Palouse</t>
  </si>
  <si>
    <t>Pasco</t>
  </si>
  <si>
    <t>Pateros</t>
  </si>
  <si>
    <t>Paterson</t>
  </si>
  <si>
    <t>Pe Ell</t>
  </si>
  <si>
    <t>Peninsula</t>
  </si>
  <si>
    <t>Pioneer</t>
  </si>
  <si>
    <t>Pomeroy</t>
  </si>
  <si>
    <t>Port Angeles</t>
  </si>
  <si>
    <t>Port Townsend</t>
  </si>
  <si>
    <t>Prescott</t>
  </si>
  <si>
    <t>Prosser</t>
  </si>
  <si>
    <t>Pullman</t>
  </si>
  <si>
    <t>Puyallup</t>
  </si>
  <si>
    <t>Queets-Clearwater</t>
  </si>
  <si>
    <t>Quilcene</t>
  </si>
  <si>
    <t>Quillayute Valley</t>
  </si>
  <si>
    <t>Quincy</t>
  </si>
  <si>
    <t>Rainier</t>
  </si>
  <si>
    <t>Raymond</t>
  </si>
  <si>
    <t>Reardan-Edwall</t>
  </si>
  <si>
    <t>Renton</t>
  </si>
  <si>
    <t>Republic</t>
  </si>
  <si>
    <t>Richland</t>
  </si>
  <si>
    <t>Ritzville</t>
  </si>
  <si>
    <t>Riverside</t>
  </si>
  <si>
    <t>Riverview</t>
  </si>
  <si>
    <t>Rochester</t>
  </si>
  <si>
    <t>Rosalia</t>
  </si>
  <si>
    <t>Royal</t>
  </si>
  <si>
    <t>Satsop</t>
  </si>
  <si>
    <t>Seattle</t>
  </si>
  <si>
    <t>Selah</t>
  </si>
  <si>
    <t>Selkirk</t>
  </si>
  <si>
    <t>Sequim</t>
  </si>
  <si>
    <t>Shaw Island</t>
  </si>
  <si>
    <t>Shelton</t>
  </si>
  <si>
    <t>Shoreline</t>
  </si>
  <si>
    <t>Skykomish</t>
  </si>
  <si>
    <t>Snohomish</t>
  </si>
  <si>
    <t>Snoqualmie Valley</t>
  </si>
  <si>
    <t>Soap Lake</t>
  </si>
  <si>
    <t>South Bend</t>
  </si>
  <si>
    <t>South Kitsap</t>
  </si>
  <si>
    <t>South Whidbey</t>
  </si>
  <si>
    <t>Southside</t>
  </si>
  <si>
    <t>Spokane</t>
  </si>
  <si>
    <t>Sprague</t>
  </si>
  <si>
    <t>Stanwood-Camano</t>
  </si>
  <si>
    <t>Star</t>
  </si>
  <si>
    <t>Starbuck</t>
  </si>
  <si>
    <t>Stehekin</t>
  </si>
  <si>
    <t>Steptoe</t>
  </si>
  <si>
    <t>Sultan</t>
  </si>
  <si>
    <t>Summit Valley</t>
  </si>
  <si>
    <t>Sumner</t>
  </si>
  <si>
    <t>Sunnyside</t>
  </si>
  <si>
    <t>Tacoma</t>
  </si>
  <si>
    <t>Taholah</t>
  </si>
  <si>
    <t>Tahoma</t>
  </si>
  <si>
    <t>Tekoa</t>
  </si>
  <si>
    <t>Tenino</t>
  </si>
  <si>
    <t>Thorp</t>
  </si>
  <si>
    <t>Toledo</t>
  </si>
  <si>
    <t>Tonasket</t>
  </si>
  <si>
    <t>Toppenish</t>
  </si>
  <si>
    <t>Touchet</t>
  </si>
  <si>
    <t>Tukwila</t>
  </si>
  <si>
    <t>Tumwater</t>
  </si>
  <si>
    <t>Union Gap</t>
  </si>
  <si>
    <t>University Place</t>
  </si>
  <si>
    <t>Vancouver</t>
  </si>
  <si>
    <t>Vashon Island</t>
  </si>
  <si>
    <t>Wahluke</t>
  </si>
  <si>
    <t>Waitsburg</t>
  </si>
  <si>
    <t>Walla Walla</t>
  </si>
  <si>
    <t>Wapato</t>
  </si>
  <si>
    <t>Warden</t>
  </si>
  <si>
    <t>Washougal</t>
  </si>
  <si>
    <t>Washtucna</t>
  </si>
  <si>
    <t>Wellpinit</t>
  </si>
  <si>
    <t>Wenatchee</t>
  </si>
  <si>
    <t>White Pass</t>
  </si>
  <si>
    <t>White River</t>
  </si>
  <si>
    <t>Wilbur</t>
  </si>
  <si>
    <t>Willapa Valley</t>
  </si>
  <si>
    <t>Wilson Creek</t>
  </si>
  <si>
    <t>Winlock</t>
  </si>
  <si>
    <t>Wishkah Valley</t>
  </si>
  <si>
    <t>Woodland</t>
  </si>
  <si>
    <t>Yakima</t>
  </si>
  <si>
    <t>Yelm</t>
  </si>
  <si>
    <t>Zillah</t>
  </si>
  <si>
    <t>34975</t>
  </si>
  <si>
    <t>Enrollment Data</t>
  </si>
  <si>
    <t>Account 6321 - Medicaid Reimbursements</t>
  </si>
  <si>
    <t>Monetary Donations Designated for Special Education</t>
  </si>
  <si>
    <t>A</t>
  </si>
  <si>
    <t>B</t>
  </si>
  <si>
    <t>E</t>
  </si>
  <si>
    <t>Account 4126 - St Institutions Sp Ed</t>
  </si>
  <si>
    <t xml:space="preserve">Account 3121 - Gen Apport Generated by Sp Ed </t>
  </si>
  <si>
    <t>F</t>
  </si>
  <si>
    <t>Carbonado</t>
  </si>
  <si>
    <t>Coulee/Hartline</t>
  </si>
  <si>
    <t>Kiona Benton</t>
  </si>
  <si>
    <t>Lopez</t>
  </si>
  <si>
    <t>Mary M Knight</t>
  </si>
  <si>
    <t>Mc Cleary</t>
  </si>
  <si>
    <t>San Juan</t>
  </si>
  <si>
    <t>St John</t>
  </si>
  <si>
    <t>Steilacoom Hist.</t>
  </si>
  <si>
    <t>Valley</t>
  </si>
  <si>
    <t>Sedro-Woolley</t>
  </si>
  <si>
    <t>D</t>
  </si>
  <si>
    <t>Columbia (Stevens)</t>
  </si>
  <si>
    <t>Columbia (Walla Walla)</t>
  </si>
  <si>
    <t>East Valley (Spokane)</t>
  </si>
  <si>
    <t>East Valley (Yakima)</t>
  </si>
  <si>
    <t>Evergreen (Clark)</t>
  </si>
  <si>
    <t>Evergreen (Stevens)</t>
  </si>
  <si>
    <t>West Valley (Spokane)</t>
  </si>
  <si>
    <t>West Valley (Yakima)</t>
  </si>
  <si>
    <t>CoDist</t>
  </si>
  <si>
    <t>Account 6324 - Federal Special Ed-Supplemental</t>
  </si>
  <si>
    <t>ESA 112</t>
  </si>
  <si>
    <t>Account 4326 - St Institutions Sp Ed</t>
  </si>
  <si>
    <t>WA State School for the Blind</t>
  </si>
  <si>
    <t>Complete using data from expenditure report submitted with the application.</t>
  </si>
  <si>
    <t>Maximum Capacity for Safety Net Awards</t>
  </si>
  <si>
    <t>Number of Resident Pupils Served in Other Districts</t>
  </si>
  <si>
    <t>Budgeted Enrollment</t>
  </si>
  <si>
    <t>Account 4121 - State Special Education Allocation (AGE 3-21)</t>
  </si>
  <si>
    <t>Number of Resident Pupils Served (AGE 3-21)</t>
  </si>
  <si>
    <t xml:space="preserve">WORKSHEET A </t>
  </si>
  <si>
    <t>Account 4321 - St Medicaid Reimbursement</t>
  </si>
  <si>
    <t>ESD</t>
  </si>
  <si>
    <t>18902</t>
  </si>
  <si>
    <t>Name</t>
  </si>
  <si>
    <t>COLUMBIA-Stevens</t>
  </si>
  <si>
    <t>COLUMBIA-Walla Walla</t>
  </si>
  <si>
    <t>EAST VALLEY-Spokane</t>
  </si>
  <si>
    <t>EAST VALLEY-Yakima</t>
  </si>
  <si>
    <t>EVERGREEN-Clark</t>
  </si>
  <si>
    <t>EVERGREEN-Stevens</t>
  </si>
  <si>
    <t>KIONA-BENTON</t>
  </si>
  <si>
    <t>ORCAS ISLAND</t>
  </si>
  <si>
    <t>Queets-CLEARWATER</t>
  </si>
  <si>
    <t>WEST VALLEY-Spokane</t>
  </si>
  <si>
    <t>WEST VALLEY-Yakima</t>
  </si>
  <si>
    <t>Other Sources</t>
  </si>
  <si>
    <t>C</t>
  </si>
  <si>
    <t>Suquamish</t>
  </si>
  <si>
    <t>Year End Data</t>
  </si>
  <si>
    <t>SUQUAMISH TRIBAL ED DEPT</t>
  </si>
  <si>
    <t>Centerville</t>
  </si>
  <si>
    <t>Dayton</t>
  </si>
  <si>
    <t>Dixie</t>
  </si>
  <si>
    <t>Glenwood</t>
  </si>
  <si>
    <t>Goldendale</t>
  </si>
  <si>
    <t>Green Mountain</t>
  </si>
  <si>
    <t>Kahlotus</t>
  </si>
  <si>
    <t>Kalama</t>
  </si>
  <si>
    <t>Klickitat</t>
  </si>
  <si>
    <t>Lake Quinault</t>
  </si>
  <si>
    <t>Lyle</t>
  </si>
  <si>
    <t>Methow Valley</t>
  </si>
  <si>
    <t>Mill A</t>
  </si>
  <si>
    <t>Mount Pleasant</t>
  </si>
  <si>
    <t>Naselle-Grays River</t>
  </si>
  <si>
    <t>Ocean Beach</t>
  </si>
  <si>
    <t>Orondo</t>
  </si>
  <si>
    <t>Pride Prep</t>
  </si>
  <si>
    <t>Rainier Prep</t>
  </si>
  <si>
    <t>Ridgefield</t>
  </si>
  <si>
    <t>Roosevelt</t>
  </si>
  <si>
    <t>Skamania</t>
  </si>
  <si>
    <t>Spokane Intl Academy</t>
  </si>
  <si>
    <t>Stevenson-Carson</t>
  </si>
  <si>
    <t>Summit Olympus</t>
  </si>
  <si>
    <t>Summit Sierra</t>
  </si>
  <si>
    <t>Toutle Lake</t>
  </si>
  <si>
    <t>Trout Lake</t>
  </si>
  <si>
    <t>Wahkiakum</t>
  </si>
  <si>
    <t>Waterville</t>
  </si>
  <si>
    <t>White Salmon</t>
  </si>
  <si>
    <t>Wishram</t>
  </si>
  <si>
    <t>37903</t>
  </si>
  <si>
    <t>27909</t>
  </si>
  <si>
    <t>17902</t>
  </si>
  <si>
    <t>27905</t>
  </si>
  <si>
    <t>17908</t>
  </si>
  <si>
    <t>32907</t>
  </si>
  <si>
    <t>32901</t>
  </si>
  <si>
    <t xml:space="preserve">Office of Superintendent of Public Instruction is licensed </t>
  </si>
  <si>
    <t>under a Creative Commons Attribution 4.0 International License.</t>
  </si>
  <si>
    <t>05903</t>
  </si>
  <si>
    <t>06701</t>
  </si>
  <si>
    <t xml:space="preserve">Source: </t>
  </si>
  <si>
    <t>Source:</t>
  </si>
  <si>
    <t>For use with federal programs, as allowable, in:</t>
  </si>
  <si>
    <t>State Average</t>
  </si>
  <si>
    <t>GREEN DOT RAINIER VALLEY</t>
  </si>
  <si>
    <t>LUMMI TRIBAL AGENCY</t>
  </si>
  <si>
    <t>17903</t>
  </si>
  <si>
    <t>MUCKLESHOOT TRIBAL</t>
  </si>
  <si>
    <t>PRIDE PREP CHARTER</t>
  </si>
  <si>
    <t>QUILEUTE TRIBAL</t>
  </si>
  <si>
    <t>RAINIER PREP CHARTER</t>
  </si>
  <si>
    <t>SPOKANE INT'L CHARTER</t>
  </si>
  <si>
    <t>17905</t>
  </si>
  <si>
    <t>SUMMIT OLYMPUS CHARTER</t>
  </si>
  <si>
    <t>SUMMIT SIERRA CHARTER</t>
  </si>
  <si>
    <t>34901</t>
  </si>
  <si>
    <t>36901</t>
  </si>
  <si>
    <t>WILLOW CHARTER</t>
  </si>
  <si>
    <t>Summit Atlas</t>
  </si>
  <si>
    <t>17910</t>
  </si>
  <si>
    <t>Account 6257 - Institutions Neglected and Delinquint</t>
  </si>
  <si>
    <t>Impact Public Charter</t>
  </si>
  <si>
    <t>17911</t>
  </si>
  <si>
    <t>113</t>
  </si>
  <si>
    <t>101</t>
  </si>
  <si>
    <t>189</t>
  </si>
  <si>
    <t>123</t>
  </si>
  <si>
    <t>121</t>
  </si>
  <si>
    <t>112</t>
  </si>
  <si>
    <t>105</t>
  </si>
  <si>
    <t>114</t>
  </si>
  <si>
    <t>171</t>
  </si>
  <si>
    <t>2019–20 Worksheet A by </t>
  </si>
  <si>
    <t>https://www.k12.wa.us/policy-funding/school-apportionment/instructions-and-tools/indirect-cost-rates</t>
  </si>
  <si>
    <t>WA HE LUT TRIBAL</t>
  </si>
  <si>
    <t>Section 611</t>
  </si>
  <si>
    <t>Section 619</t>
  </si>
  <si>
    <t>Columbia No. 206 (Stevens)</t>
  </si>
  <si>
    <t>Columbia No. 400 (Walla Walla)</t>
  </si>
  <si>
    <t>Coulee-Hartline</t>
  </si>
  <si>
    <t>East Valley No. 361 (Spokane)</t>
  </si>
  <si>
    <t>East Valley No. 90 (Yakima)</t>
  </si>
  <si>
    <t>Evergreen No. 114 (Clark)</t>
  </si>
  <si>
    <t>Evergreen No. 205 (Stevens)</t>
  </si>
  <si>
    <t>Kiona-Benton</t>
  </si>
  <si>
    <t>LaCrosse</t>
  </si>
  <si>
    <t>Lopez Island</t>
  </si>
  <si>
    <t>900</t>
  </si>
  <si>
    <t>McCleary</t>
  </si>
  <si>
    <t xml:space="preserve">Mount Baker </t>
  </si>
  <si>
    <t>San Juan Island</t>
  </si>
  <si>
    <t>Spokane International Academy</t>
  </si>
  <si>
    <t>Steilacoom Historical</t>
  </si>
  <si>
    <t>Sumner-Bonney Lake</t>
  </si>
  <si>
    <t>Suquamish Tribal Education Department</t>
  </si>
  <si>
    <t>WA State School for the Deaf (CDHY)</t>
  </si>
  <si>
    <t>West Valley No. 208 (Yakima)</t>
  </si>
  <si>
    <t>West Valley No. 363 (Spokane)</t>
  </si>
  <si>
    <t>Month</t>
  </si>
  <si>
    <t>Program 21</t>
  </si>
  <si>
    <t>Activity</t>
  </si>
  <si>
    <t>Object</t>
  </si>
  <si>
    <t>YTD</t>
  </si>
  <si>
    <t>Explanation of difference</t>
  </si>
  <si>
    <t>Program 24</t>
  </si>
  <si>
    <t>Program 26</t>
  </si>
  <si>
    <t>February</t>
  </si>
  <si>
    <t>Program 29</t>
  </si>
  <si>
    <t>Annualized YTD</t>
  </si>
  <si>
    <t>Budgeted</t>
  </si>
  <si>
    <t>ASOTIN-ANATONE</t>
  </si>
  <si>
    <t>27901</t>
  </si>
  <si>
    <t>Chief Leschi Schools K-12th</t>
  </si>
  <si>
    <t>COLUMBIA 206 (Stevens 101)</t>
  </si>
  <si>
    <t>COLUMBIA 400 (Walla Walla 123)</t>
  </si>
  <si>
    <t>EAST VALLEY 361 (Spokane ESD 101)</t>
  </si>
  <si>
    <t>EAST VALLEY 90 (Yakima ESD 105)</t>
  </si>
  <si>
    <t>EVERGREEN 114 (Clark ESD 112)</t>
  </si>
  <si>
    <t>EVERGREEN 205 (Stevens ESD 101)</t>
  </si>
  <si>
    <t>KIONA BENTON</t>
  </si>
  <si>
    <t>LA CENTER</t>
  </si>
  <si>
    <t>LAKE QUINAULT</t>
  </si>
  <si>
    <t>LOPEZ ISLAND</t>
  </si>
  <si>
    <t>Lummi Nation Tribal K-12th</t>
  </si>
  <si>
    <t>NASELLE GRAYS RIVER</t>
  </si>
  <si>
    <t>PRIDE PREP 6TH-12TH</t>
  </si>
  <si>
    <t>QUEETS-CLEARWATER</t>
  </si>
  <si>
    <t xml:space="preserve">Quileute Tribal </t>
  </si>
  <si>
    <t>RAINIER PREP 5TH-8TH</t>
  </si>
  <si>
    <t>REARDAN-EDWALL</t>
  </si>
  <si>
    <t>SCHOOL FOR THE BLIND</t>
  </si>
  <si>
    <t>SCHOOL FOR THE DEAF</t>
  </si>
  <si>
    <t>SOAR ACADEMY K-5TH</t>
  </si>
  <si>
    <t>SPOKANE INTL ACADEMY K-8TH</t>
  </si>
  <si>
    <t>STANWOOD-CAMANO</t>
  </si>
  <si>
    <t>SUMMIT ATLAS 6TH-12TH</t>
  </si>
  <si>
    <t>SUMMIT OLYMPUS 9TH-11TH</t>
  </si>
  <si>
    <t>SUMMIT SIERRA 9TH-11TH</t>
  </si>
  <si>
    <t>Suquamish Tribal - Chief Kitsap Academy</t>
  </si>
  <si>
    <t>Wa He Lut Indian School Agency</t>
  </si>
  <si>
    <t>WEST VALLEY 208</t>
  </si>
  <si>
    <t>WEST VALLEY 363</t>
  </si>
  <si>
    <t>WILLOW PUBLIC CHARTER 6TH-8TH</t>
  </si>
  <si>
    <t>39901</t>
  </si>
  <si>
    <t>Yakama Nation Tribal</t>
  </si>
  <si>
    <t>Catalyst Public Schools</t>
  </si>
  <si>
    <t>Lumen High School</t>
  </si>
  <si>
    <t>WA State Center for Childhood Deafness and Hearing Youth</t>
  </si>
  <si>
    <t>18901</t>
  </si>
  <si>
    <t>17916</t>
  </si>
  <si>
    <t>32903</t>
  </si>
  <si>
    <t>Washtucna School District</t>
  </si>
  <si>
    <t>Benge School District</t>
  </si>
  <si>
    <t>Othello School District</t>
  </si>
  <si>
    <t>Lind School District</t>
  </si>
  <si>
    <t>Ritzville School District</t>
  </si>
  <si>
    <t>Clarkston School District</t>
  </si>
  <si>
    <t>Asotin-Anatone School District</t>
  </si>
  <si>
    <t>Kennewick School District</t>
  </si>
  <si>
    <t>Paterson School District</t>
  </si>
  <si>
    <t>Kiona-Benton City School District</t>
  </si>
  <si>
    <t>Finley School District</t>
  </si>
  <si>
    <t>Prosser School District</t>
  </si>
  <si>
    <t>Richland School District</t>
  </si>
  <si>
    <t>Manson School District</t>
  </si>
  <si>
    <t>Stehekin School District</t>
  </si>
  <si>
    <t>Entiat School District</t>
  </si>
  <si>
    <t>Lake Chelan School District</t>
  </si>
  <si>
    <t>CASHMERE SCHOOL DISTRICT</t>
  </si>
  <si>
    <t>Cascade School District</t>
  </si>
  <si>
    <t>Wenatchee School District</t>
  </si>
  <si>
    <t>Port Angeles School District</t>
  </si>
  <si>
    <t>Crescent School District</t>
  </si>
  <si>
    <t>Sequim School District</t>
  </si>
  <si>
    <t>Cape Flattery School District</t>
  </si>
  <si>
    <t>Quillayute Valley School District</t>
  </si>
  <si>
    <t>Quileute Tribal School District</t>
  </si>
  <si>
    <t>Vancouver School District</t>
  </si>
  <si>
    <t>Hockinson School District</t>
  </si>
  <si>
    <t>La Center School District</t>
  </si>
  <si>
    <t>Washougal School District</t>
  </si>
  <si>
    <t>Evergreen School District (Clark)</t>
  </si>
  <si>
    <t>Camas School District</t>
  </si>
  <si>
    <t>Battle Ground School District</t>
  </si>
  <si>
    <t>Ridgefield School District</t>
  </si>
  <si>
    <t>Starbuck School District</t>
  </si>
  <si>
    <t>Longview School District</t>
  </si>
  <si>
    <t>Castle Rock School District</t>
  </si>
  <si>
    <t>Woodland School District</t>
  </si>
  <si>
    <t>Kelso School District</t>
  </si>
  <si>
    <t>Bridgeport School District</t>
  </si>
  <si>
    <t>Palisades School District</t>
  </si>
  <si>
    <t>Eastmont School District</t>
  </si>
  <si>
    <t>Mansfield School District</t>
  </si>
  <si>
    <t>Keller School District</t>
  </si>
  <si>
    <t>Curlew School District</t>
  </si>
  <si>
    <t>Orient School District</t>
  </si>
  <si>
    <t>Inchelium School District</t>
  </si>
  <si>
    <t>Republic School District</t>
  </si>
  <si>
    <t>Pasco School District</t>
  </si>
  <si>
    <t>North Franklin School District</t>
  </si>
  <si>
    <t>Star School District No. 054</t>
  </si>
  <si>
    <t>Pomeroy School District</t>
  </si>
  <si>
    <t>Wahluke School District</t>
  </si>
  <si>
    <t>Quincy School District</t>
  </si>
  <si>
    <t>Warden School District</t>
  </si>
  <si>
    <t>Coulee-Hartline School District</t>
  </si>
  <si>
    <t>Soap Lake School District</t>
  </si>
  <si>
    <t>Royal School District</t>
  </si>
  <si>
    <t>Moses Lake School District</t>
  </si>
  <si>
    <t>Ephrata School District</t>
  </si>
  <si>
    <t>Wilson Creek School District</t>
  </si>
  <si>
    <t>Grand Coulee Dam School District</t>
  </si>
  <si>
    <t>Aberdeen School District</t>
  </si>
  <si>
    <t>Hoquiam School District</t>
  </si>
  <si>
    <t>North Beach School District</t>
  </si>
  <si>
    <t>McCleary School District</t>
  </si>
  <si>
    <t>Montesano School District</t>
  </si>
  <si>
    <t>Elma School District</t>
  </si>
  <si>
    <t>Taholah School District</t>
  </si>
  <si>
    <t>Cosmopolis School District</t>
  </si>
  <si>
    <t>Satsop School District</t>
  </si>
  <si>
    <t>Wishkah Valley School District</t>
  </si>
  <si>
    <t>Ocosta School District</t>
  </si>
  <si>
    <t>Oakville School District</t>
  </si>
  <si>
    <t>Oak Harbor School District</t>
  </si>
  <si>
    <t>Coupeville School District</t>
  </si>
  <si>
    <t>South Whidbey School District</t>
  </si>
  <si>
    <t>Queets-Clearwater School District</t>
  </si>
  <si>
    <t>Brinnon School District</t>
  </si>
  <si>
    <t>Quilcene School District</t>
  </si>
  <si>
    <t>Chimacum School District</t>
  </si>
  <si>
    <t>Port Townsend School District</t>
  </si>
  <si>
    <t>Seattle Public Schools</t>
  </si>
  <si>
    <t>Federal Way School District</t>
  </si>
  <si>
    <t>Enumclaw School District</t>
  </si>
  <si>
    <t>Mercer Island School District</t>
  </si>
  <si>
    <t>Highline School District</t>
  </si>
  <si>
    <t>Vashon Island School District</t>
  </si>
  <si>
    <t>Renton School District</t>
  </si>
  <si>
    <t>Skykomish School District</t>
  </si>
  <si>
    <t>Bellevue School District</t>
  </si>
  <si>
    <t>Tukwila School District</t>
  </si>
  <si>
    <t>Riverview School District</t>
  </si>
  <si>
    <t>Auburn School District</t>
  </si>
  <si>
    <t>Tahoma School District</t>
  </si>
  <si>
    <t>Snoqualmie Valley School District</t>
  </si>
  <si>
    <t>Issaquah School District</t>
  </si>
  <si>
    <t>Shoreline School District</t>
  </si>
  <si>
    <t>Lake Washington School District</t>
  </si>
  <si>
    <t>Kent School District</t>
  </si>
  <si>
    <t>Northshore School District</t>
  </si>
  <si>
    <t>Summit Public School: Sierra</t>
  </si>
  <si>
    <t>Muckleshoot Indian Tribe</t>
  </si>
  <si>
    <t>Summit Public School: Atlas</t>
  </si>
  <si>
    <t>Rainier Prep Charter School District</t>
  </si>
  <si>
    <t xml:space="preserve">Rainier Valley Leadership Academy </t>
  </si>
  <si>
    <t>Impact | Puget Sound Elementary</t>
  </si>
  <si>
    <t>Impact | Salish Sea Elementary</t>
  </si>
  <si>
    <t>17917</t>
  </si>
  <si>
    <t>Bremerton School District</t>
  </si>
  <si>
    <t>Bainbridge Island School District</t>
  </si>
  <si>
    <t>North Kitsap School District</t>
  </si>
  <si>
    <t>Central Kitsap School District</t>
  </si>
  <si>
    <t>South Kitsap School District</t>
  </si>
  <si>
    <t>Damman School District</t>
  </si>
  <si>
    <t>Easton School District</t>
  </si>
  <si>
    <t>Thorp School District</t>
  </si>
  <si>
    <t>Ellensburg School District</t>
  </si>
  <si>
    <t>Kittitas School District</t>
  </si>
  <si>
    <t>Cle Elum-Roslyn School District</t>
  </si>
  <si>
    <t>Napavine School District</t>
  </si>
  <si>
    <t>Evaline School District</t>
  </si>
  <si>
    <t>Mossyrock School District</t>
  </si>
  <si>
    <t>Morton School District</t>
  </si>
  <si>
    <t>Adna School District</t>
  </si>
  <si>
    <t>Winlock School District</t>
  </si>
  <si>
    <t>Boistfort School District</t>
  </si>
  <si>
    <t>Toledo School District</t>
  </si>
  <si>
    <t>Onalaska School District</t>
  </si>
  <si>
    <t>Pe Ell School District</t>
  </si>
  <si>
    <t>Chehalis School District</t>
  </si>
  <si>
    <t>White Pass School District</t>
  </si>
  <si>
    <t>Centralia School District</t>
  </si>
  <si>
    <t>Sprague School District</t>
  </si>
  <si>
    <t>Reardan-Edwall School District</t>
  </si>
  <si>
    <t>Almira School District</t>
  </si>
  <si>
    <t>Creston School District</t>
  </si>
  <si>
    <t>Odessa School District</t>
  </si>
  <si>
    <t>Wilbur School District</t>
  </si>
  <si>
    <t>Harrington School District</t>
  </si>
  <si>
    <t>Davenport School District</t>
  </si>
  <si>
    <t>Southside School District</t>
  </si>
  <si>
    <t>Grapeview School District</t>
  </si>
  <si>
    <t>Shelton School District</t>
  </si>
  <si>
    <t>Mary M Knight School District</t>
  </si>
  <si>
    <t>Pioneer School District</t>
  </si>
  <si>
    <t>North Mason School District</t>
  </si>
  <si>
    <t>Hood Canal School District</t>
  </si>
  <si>
    <t>Omak School District</t>
  </si>
  <si>
    <t>Okanogan School District</t>
  </si>
  <si>
    <t>Brewster School District</t>
  </si>
  <si>
    <t>Pateros School District</t>
  </si>
  <si>
    <t>Tonasket School District</t>
  </si>
  <si>
    <t>Oroville School District</t>
  </si>
  <si>
    <t>South Bend School District</t>
  </si>
  <si>
    <t>Willapa Valley School District</t>
  </si>
  <si>
    <t>North River School District</t>
  </si>
  <si>
    <t>Newport School District</t>
  </si>
  <si>
    <t>Cusick School District</t>
  </si>
  <si>
    <t>Selkirk School District</t>
  </si>
  <si>
    <t>Steilacoom Hist. School District</t>
  </si>
  <si>
    <t>Puyallup School District</t>
  </si>
  <si>
    <t>Tacoma School District</t>
  </si>
  <si>
    <t>Carbonado School District</t>
  </si>
  <si>
    <t>University Place School District</t>
  </si>
  <si>
    <t>Sumner School District</t>
  </si>
  <si>
    <t>Dieringer School District</t>
  </si>
  <si>
    <t>Orting School District</t>
  </si>
  <si>
    <t>Clover Park School District</t>
  </si>
  <si>
    <t>Peninsula School District</t>
  </si>
  <si>
    <t>Franklin Pierce School District</t>
  </si>
  <si>
    <t>Bethel School District</t>
  </si>
  <si>
    <t>Eatonville School District</t>
  </si>
  <si>
    <t>White River School District</t>
  </si>
  <si>
    <t>Fife School District</t>
  </si>
  <si>
    <t>Chief Leschi Tribal Compact</t>
  </si>
  <si>
    <t>Summit Public School: Olympus</t>
  </si>
  <si>
    <t>Shaw Island School District</t>
  </si>
  <si>
    <t>Orcas Island School District</t>
  </si>
  <si>
    <t>Lopez School District</t>
  </si>
  <si>
    <t>San Juan Island School District</t>
  </si>
  <si>
    <t>Concrete School District</t>
  </si>
  <si>
    <t>Burlington-Edison School District</t>
  </si>
  <si>
    <t>Sedro-Woolley School District</t>
  </si>
  <si>
    <t>Anacortes School District</t>
  </si>
  <si>
    <t>La Conner School District</t>
  </si>
  <si>
    <t>Conway School District</t>
  </si>
  <si>
    <t>Mount Vernon School District</t>
  </si>
  <si>
    <t>Everett School District</t>
  </si>
  <si>
    <t>Lake Stevens School District</t>
  </si>
  <si>
    <t>Mukilteo School District</t>
  </si>
  <si>
    <t>Edmonds School District</t>
  </si>
  <si>
    <t>Arlington School District</t>
  </si>
  <si>
    <t>Marysville School District</t>
  </si>
  <si>
    <t>Index School District</t>
  </si>
  <si>
    <t>Monroe School District</t>
  </si>
  <si>
    <t>Snohomish School District</t>
  </si>
  <si>
    <t>Lakewood School District</t>
  </si>
  <si>
    <t>Sultan School District</t>
  </si>
  <si>
    <t>Darrington School District</t>
  </si>
  <si>
    <t>Granite Falls School District</t>
  </si>
  <si>
    <t>Stanwood-Camano School District</t>
  </si>
  <si>
    <t>Spokane School District</t>
  </si>
  <si>
    <t>Orchard Prairie School District</t>
  </si>
  <si>
    <t>Great Northern School District</t>
  </si>
  <si>
    <t>Nine Mile Falls School District</t>
  </si>
  <si>
    <t>Medical Lake School District</t>
  </si>
  <si>
    <t>Mead School District</t>
  </si>
  <si>
    <t>Central Valley School District</t>
  </si>
  <si>
    <t>Freeman School District</t>
  </si>
  <si>
    <t>Cheney School District</t>
  </si>
  <si>
    <t>East Valley School District (Spokane)</t>
  </si>
  <si>
    <t>Liberty School District</t>
  </si>
  <si>
    <t>West Valley School District (Spokane)</t>
  </si>
  <si>
    <t>Deer Park School District</t>
  </si>
  <si>
    <t>Riverside School District</t>
  </si>
  <si>
    <t>Lumen Public School</t>
  </si>
  <si>
    <t>PRIDE Prep Charter School District</t>
  </si>
  <si>
    <t>32911</t>
  </si>
  <si>
    <t>Spokane Public Schools Charter Authorizer</t>
  </si>
  <si>
    <t>Onion Creek School District</t>
  </si>
  <si>
    <t>Chewelah School District</t>
  </si>
  <si>
    <t>Wellpinit School District</t>
  </si>
  <si>
    <t>Valley School District</t>
  </si>
  <si>
    <t>Colville School District</t>
  </si>
  <si>
    <t>Loon Lake School District</t>
  </si>
  <si>
    <t>Summit Valley School District</t>
  </si>
  <si>
    <t>Evergreen School District (Stevens)</t>
  </si>
  <si>
    <t>Columbia (Stevens) School District</t>
  </si>
  <si>
    <t>Mary Walker School District</t>
  </si>
  <si>
    <t>Northport School District</t>
  </si>
  <si>
    <t>Kettle Falls School District</t>
  </si>
  <si>
    <t>Yelm School District</t>
  </si>
  <si>
    <t>North Thurston Public Schools</t>
  </si>
  <si>
    <t>Tumwater School District</t>
  </si>
  <si>
    <t>Olympia School District</t>
  </si>
  <si>
    <t>Rainier School District</t>
  </si>
  <si>
    <t>Griffin School District</t>
  </si>
  <si>
    <t>Rochester School District</t>
  </si>
  <si>
    <t>Tenino School District</t>
  </si>
  <si>
    <t>WA HE LUT Indian School Agency</t>
  </si>
  <si>
    <t>34950</t>
  </si>
  <si>
    <t>Washington State Charter School Commission</t>
  </si>
  <si>
    <t>Office of the Governor (Sch for Blind)</t>
  </si>
  <si>
    <t>Washington Center for Deaf and Hard of Hearing Youth</t>
  </si>
  <si>
    <t>Walla Walla Public Schools</t>
  </si>
  <si>
    <t>College Place School District</t>
  </si>
  <si>
    <t>Touchet School District</t>
  </si>
  <si>
    <t>Columbia (Walla Walla) School District</t>
  </si>
  <si>
    <t>Waitsburg School District</t>
  </si>
  <si>
    <t>Prescott School District</t>
  </si>
  <si>
    <t>Bellingham School District</t>
  </si>
  <si>
    <t>Ferndale School District</t>
  </si>
  <si>
    <t>Blaine School District</t>
  </si>
  <si>
    <t>Lynden School District</t>
  </si>
  <si>
    <t>Meridian School District</t>
  </si>
  <si>
    <t>Nooksack Valley School District</t>
  </si>
  <si>
    <t>Mount Baker School District</t>
  </si>
  <si>
    <t>37902</t>
  </si>
  <si>
    <t>Whatcom Intergenerational High School</t>
  </si>
  <si>
    <t>Lummi Tribal Agency</t>
  </si>
  <si>
    <t>LaCrosse School District</t>
  </si>
  <si>
    <t>Lamont School District</t>
  </si>
  <si>
    <t>Tekoa School District</t>
  </si>
  <si>
    <t>Pullman School District</t>
  </si>
  <si>
    <t>Colfax School District</t>
  </si>
  <si>
    <t>Palouse School District</t>
  </si>
  <si>
    <t>Garfield School District</t>
  </si>
  <si>
    <t>Steptoe School District</t>
  </si>
  <si>
    <t>Colton School District</t>
  </si>
  <si>
    <t>Endicott School District</t>
  </si>
  <si>
    <t>Rosalia School District</t>
  </si>
  <si>
    <t>St. John School District</t>
  </si>
  <si>
    <t>Oakesdale School District</t>
  </si>
  <si>
    <t>Union Gap School District</t>
  </si>
  <si>
    <t>Naches Valley School District</t>
  </si>
  <si>
    <t>Yakima School District</t>
  </si>
  <si>
    <t>East Valley School District (Yakima)</t>
  </si>
  <si>
    <t>Selah School District</t>
  </si>
  <si>
    <t>Mabton School District</t>
  </si>
  <si>
    <t>Grandview School District</t>
  </si>
  <si>
    <t>Sunnyside School District</t>
  </si>
  <si>
    <t>Toppenish School District</t>
  </si>
  <si>
    <t>Highland School District</t>
  </si>
  <si>
    <t>Granger School District</t>
  </si>
  <si>
    <t>Zillah School District</t>
  </si>
  <si>
    <t>Wapato School District</t>
  </si>
  <si>
    <t>West Valley School District (Yakima)</t>
  </si>
  <si>
    <t>Mount Adams School District</t>
  </si>
  <si>
    <t>Yakama Nation Tribal Compact</t>
  </si>
  <si>
    <t>Total 3-21</t>
  </si>
  <si>
    <t>LEA Name</t>
  </si>
  <si>
    <t>Enroll SpEd 3-PK</t>
  </si>
  <si>
    <t>Enroll SpEd K-21 LRE1</t>
  </si>
  <si>
    <t>Enroll SpEd K-21 Other</t>
  </si>
  <si>
    <t>CHIEF LESCHI TRIBAL SCHOOL</t>
  </si>
  <si>
    <t>IMPACT PUBLIC SCHOOLS</t>
  </si>
  <si>
    <t>SUMMIT ATLAS CHARTER</t>
  </si>
  <si>
    <t>YAKAMA NATION TRIBAL SCHOOL</t>
  </si>
  <si>
    <t xml:space="preserve">Catalyst </t>
  </si>
  <si>
    <t>Impact Puget Sound</t>
  </si>
  <si>
    <t>Impact Salish Sea</t>
  </si>
  <si>
    <t>Innovation</t>
  </si>
  <si>
    <t>Lumen</t>
  </si>
  <si>
    <t>Mukleshoot</t>
  </si>
  <si>
    <t>LEA</t>
  </si>
  <si>
    <t>FP 267 SpEd IDEA Part B Sections 611 and 619</t>
  </si>
  <si>
    <t xml:space="preserve">ANACORTES </t>
  </si>
  <si>
    <t xml:space="preserve">ARLINGTON </t>
  </si>
  <si>
    <t xml:space="preserve">AUBURN </t>
  </si>
  <si>
    <t xml:space="preserve">BELLEVUE </t>
  </si>
  <si>
    <t xml:space="preserve">BELLINGHAM </t>
  </si>
  <si>
    <t xml:space="preserve">BENGE </t>
  </si>
  <si>
    <t xml:space="preserve">BOISTFORT </t>
  </si>
  <si>
    <t xml:space="preserve">BREMERTON </t>
  </si>
  <si>
    <t xml:space="preserve">BREWSTER </t>
  </si>
  <si>
    <t xml:space="preserve">BURLINGTON-EDISON </t>
  </si>
  <si>
    <t xml:space="preserve">CENTRAL VALLEY </t>
  </si>
  <si>
    <t xml:space="preserve">CENTRALIA </t>
  </si>
  <si>
    <t xml:space="preserve">CHENEY </t>
  </si>
  <si>
    <t xml:space="preserve">CLARKSTON </t>
  </si>
  <si>
    <t xml:space="preserve">CLOVER PARK </t>
  </si>
  <si>
    <t xml:space="preserve">COLUMBIA (WALLA WALLA) </t>
  </si>
  <si>
    <t xml:space="preserve">COSMOPOLIS </t>
  </si>
  <si>
    <t xml:space="preserve">CUSICK </t>
  </si>
  <si>
    <t xml:space="preserve">DAMMAN </t>
  </si>
  <si>
    <t xml:space="preserve">DARRINGTON </t>
  </si>
  <si>
    <t xml:space="preserve">DEER PARK </t>
  </si>
  <si>
    <t>EAST VALLEY  (YAKIMA)</t>
  </si>
  <si>
    <t xml:space="preserve">EASTMONT </t>
  </si>
  <si>
    <t xml:space="preserve">ELMA </t>
  </si>
  <si>
    <t xml:space="preserve">ENTIAT </t>
  </si>
  <si>
    <t xml:space="preserve">ENUMCLAW </t>
  </si>
  <si>
    <t xml:space="preserve">FERNDALE </t>
  </si>
  <si>
    <t xml:space="preserve">FREEMAN </t>
  </si>
  <si>
    <t xml:space="preserve">GRIFFIN </t>
  </si>
  <si>
    <t xml:space="preserve">HARRINGTON </t>
  </si>
  <si>
    <t xml:space="preserve">HIGHLAND </t>
  </si>
  <si>
    <t xml:space="preserve">ISSAQUAH </t>
  </si>
  <si>
    <t xml:space="preserve">KELLER </t>
  </si>
  <si>
    <t xml:space="preserve">KENNEWICK </t>
  </si>
  <si>
    <t xml:space="preserve">KENT </t>
  </si>
  <si>
    <t xml:space="preserve">KETTLE FALLS </t>
  </si>
  <si>
    <t xml:space="preserve">KIONA-BENTON CITY </t>
  </si>
  <si>
    <t xml:space="preserve">LA CENTER </t>
  </si>
  <si>
    <t xml:space="preserve">LAKE CHELAN </t>
  </si>
  <si>
    <t xml:space="preserve">LAKE STEVENS </t>
  </si>
  <si>
    <t xml:space="preserve">LAKE WASHINGTON </t>
  </si>
  <si>
    <t xml:space="preserve">LAKEWOOD </t>
  </si>
  <si>
    <t xml:space="preserve">LOPEZ </t>
  </si>
  <si>
    <t xml:space="preserve">LYNDEN </t>
  </si>
  <si>
    <t xml:space="preserve">MANSON </t>
  </si>
  <si>
    <t xml:space="preserve">MARY M KNIGHT </t>
  </si>
  <si>
    <t xml:space="preserve">MARYSVILLE </t>
  </si>
  <si>
    <t xml:space="preserve">MERCER ISLAND </t>
  </si>
  <si>
    <t xml:space="preserve">MUKILTEO </t>
  </si>
  <si>
    <t xml:space="preserve">NEWPORT </t>
  </si>
  <si>
    <t xml:space="preserve">NORTH BEACH </t>
  </si>
  <si>
    <t xml:space="preserve">NORTH RIVER </t>
  </si>
  <si>
    <t>NORTH THURSTON PUBLIC SCHOOLS</t>
  </si>
  <si>
    <t xml:space="preserve">NORTHSHORE </t>
  </si>
  <si>
    <t xml:space="preserve">OCOSTA </t>
  </si>
  <si>
    <t xml:space="preserve">OKANOGAN </t>
  </si>
  <si>
    <t xml:space="preserve">ONION CREEK </t>
  </si>
  <si>
    <t xml:space="preserve">ORTING </t>
  </si>
  <si>
    <t xml:space="preserve">OTHELLO </t>
  </si>
  <si>
    <t xml:space="preserve">PALISADES </t>
  </si>
  <si>
    <t xml:space="preserve">PALOUSE </t>
  </si>
  <si>
    <t xml:space="preserve">PASCO </t>
  </si>
  <si>
    <t xml:space="preserve">PATEROS </t>
  </si>
  <si>
    <t xml:space="preserve">PATERSON </t>
  </si>
  <si>
    <t xml:space="preserve">PIONEER </t>
  </si>
  <si>
    <t xml:space="preserve">PORT ANGELES </t>
  </si>
  <si>
    <t xml:space="preserve">PRESCOTT </t>
  </si>
  <si>
    <t xml:space="preserve">PULLMAN </t>
  </si>
  <si>
    <t xml:space="preserve">PUYALLUP </t>
  </si>
  <si>
    <t xml:space="preserve">QUILCENE </t>
  </si>
  <si>
    <t xml:space="preserve">RAINIER </t>
  </si>
  <si>
    <t xml:space="preserve">RICHLAND </t>
  </si>
  <si>
    <t xml:space="preserve">RIVERVIEW </t>
  </si>
  <si>
    <t xml:space="preserve">ROCHESTER </t>
  </si>
  <si>
    <t xml:space="preserve">ROSALIA </t>
  </si>
  <si>
    <t xml:space="preserve">SATSOP </t>
  </si>
  <si>
    <t>SEATTLE PUBLIC SCHOOLS</t>
  </si>
  <si>
    <t xml:space="preserve">SEDRO-WOOLLEY </t>
  </si>
  <si>
    <t xml:space="preserve">SEQUIM </t>
  </si>
  <si>
    <t xml:space="preserve">SHORELINE </t>
  </si>
  <si>
    <t xml:space="preserve">SNOQUALMIE VALLEY </t>
  </si>
  <si>
    <t xml:space="preserve">SOUTH BEND </t>
  </si>
  <si>
    <t xml:space="preserve">STANWOOD-CAMANO </t>
  </si>
  <si>
    <t xml:space="preserve">STARBUCK </t>
  </si>
  <si>
    <t xml:space="preserve">STEILACOOM HIST. </t>
  </si>
  <si>
    <t xml:space="preserve">SUMNER </t>
  </si>
  <si>
    <t>SUQUAMISH TRIBAL EDUCATION DEPARTMENT</t>
  </si>
  <si>
    <t xml:space="preserve">TOLEDO </t>
  </si>
  <si>
    <t xml:space="preserve">TONASKET </t>
  </si>
  <si>
    <t xml:space="preserve">TOUCHET </t>
  </si>
  <si>
    <t xml:space="preserve">VALLEY </t>
  </si>
  <si>
    <t xml:space="preserve">WAITSBURG </t>
  </si>
  <si>
    <t xml:space="preserve">WAPATO </t>
  </si>
  <si>
    <t xml:space="preserve">WARDEN </t>
  </si>
  <si>
    <t>WASHINGTON CENTER FOR DEAF AND HARD OF HEARING YOUTH</t>
  </si>
  <si>
    <t xml:space="preserve">WASHTUCNA </t>
  </si>
  <si>
    <t>WEST VALLEY  (SPOKANE)</t>
  </si>
  <si>
    <t xml:space="preserve">WHITE PASS </t>
  </si>
  <si>
    <t xml:space="preserve">WILBUR </t>
  </si>
  <si>
    <t xml:space="preserve">WILLAPA VALLEY </t>
  </si>
  <si>
    <t xml:space="preserve">WILSON CREEK </t>
  </si>
  <si>
    <t xml:space="preserve">WINLOCK </t>
  </si>
  <si>
    <t xml:space="preserve">YAKIMA </t>
  </si>
  <si>
    <t xml:space="preserve">ZILLAH </t>
  </si>
  <si>
    <t xml:space="preserve">BETHEL </t>
  </si>
  <si>
    <t xml:space="preserve">CRESCENT </t>
  </si>
  <si>
    <t xml:space="preserve">CRESTON </t>
  </si>
  <si>
    <t xml:space="preserve">EASTON </t>
  </si>
  <si>
    <t xml:space="preserve">EPHRATA </t>
  </si>
  <si>
    <t xml:space="preserve">FINLEY </t>
  </si>
  <si>
    <t xml:space="preserve">FRANKLIN PIERCE </t>
  </si>
  <si>
    <t xml:space="preserve">GRAPEVIEW </t>
  </si>
  <si>
    <t xml:space="preserve">KITTITAS </t>
  </si>
  <si>
    <t xml:space="preserve">LONGVIEW </t>
  </si>
  <si>
    <t xml:space="preserve">MOSES LAKE </t>
  </si>
  <si>
    <t xml:space="preserve">NAPAVINE </t>
  </si>
  <si>
    <t xml:space="preserve">NORTHPORT </t>
  </si>
  <si>
    <t xml:space="preserve">ORCHARD PRAIRIE </t>
  </si>
  <si>
    <t xml:space="preserve">ORIENT </t>
  </si>
  <si>
    <t xml:space="preserve">QUILLAYUTE VALLEY </t>
  </si>
  <si>
    <t xml:space="preserve">REARDAN-EDWALL </t>
  </si>
  <si>
    <t xml:space="preserve">RIDGEFIELD </t>
  </si>
  <si>
    <t xml:space="preserve">SAN JUAN ISLAND </t>
  </si>
  <si>
    <t xml:space="preserve">SHELTON </t>
  </si>
  <si>
    <t xml:space="preserve">SKYKOMISH </t>
  </si>
  <si>
    <t>SPOKANE INTERNATIONAL ACADEMY</t>
  </si>
  <si>
    <t xml:space="preserve">SUNNYSIDE </t>
  </si>
  <si>
    <t xml:space="preserve">TAHOLAH </t>
  </si>
  <si>
    <t xml:space="preserve">TUKWILA </t>
  </si>
  <si>
    <t xml:space="preserve">ADNA </t>
  </si>
  <si>
    <t xml:space="preserve">CLE ELUM-ROSLYN </t>
  </si>
  <si>
    <t xml:space="preserve">CONCRETE </t>
  </si>
  <si>
    <t xml:space="preserve">MANSFIELD </t>
  </si>
  <si>
    <t xml:space="preserve">MEAD </t>
  </si>
  <si>
    <t xml:space="preserve">MOSSYROCK </t>
  </si>
  <si>
    <t xml:space="preserve">ONALASKA </t>
  </si>
  <si>
    <t xml:space="preserve">TENINO </t>
  </si>
  <si>
    <t>WEST VALLEY  (YAKIMA)</t>
  </si>
  <si>
    <t xml:space="preserve">WISHKAH VALLEY </t>
  </si>
  <si>
    <t>Total Year-to-Date Expenditures for Program 24.</t>
  </si>
  <si>
    <t>Total Year-to-Date Expenditures for Program 26.</t>
  </si>
  <si>
    <t>Total Year-to-Date Expenditures for Program 29 .</t>
  </si>
  <si>
    <t>Number of Months reflected on most recent year-to-date expenditure report.</t>
  </si>
  <si>
    <t>Total Year-to-Date Expenditures for Program 21.</t>
  </si>
  <si>
    <t>Difference between Budgeted and AYTD</t>
  </si>
  <si>
    <t>Provide explanation of differences if there is a 10% difference between budgeted expenditures and annualized year to date expenditures. When there is a 10% difference, the cell will be highlighted in green. If no explanation is provided between the budgeted and annualized expenditures, the lesser number will be used in the analysis for the district's demonstration of capacity for Safety Net funding.</t>
  </si>
  <si>
    <t xml:space="preserve">Brewster </t>
  </si>
  <si>
    <t>Catalyst Charter</t>
  </si>
  <si>
    <t xml:space="preserve">Clover Park </t>
  </si>
  <si>
    <t>27902</t>
  </si>
  <si>
    <t>Impact Commencement Bay Charter</t>
  </si>
  <si>
    <t>Impact Puget Sound Elem Charter</t>
  </si>
  <si>
    <t>Impact Salish Sea Charter</t>
  </si>
  <si>
    <t>Innovation Charter School (Willow)</t>
  </si>
  <si>
    <t>Lumen Charter</t>
  </si>
  <si>
    <t>04901</t>
  </si>
  <si>
    <t>Pinnacles Prep Charter</t>
  </si>
  <si>
    <t>Pride Prep Charter</t>
  </si>
  <si>
    <t>38901</t>
  </si>
  <si>
    <t>Pullman Community Montessori Charter</t>
  </si>
  <si>
    <t>Rainier Prep Charter</t>
  </si>
  <si>
    <t>Rainier Valley Leadership Acad Charter</t>
  </si>
  <si>
    <t>Saint John</t>
  </si>
  <si>
    <t>Spokane International Academy Charter</t>
  </si>
  <si>
    <t>Summit Atlas Charter</t>
  </si>
  <si>
    <t>Summit Olympus Charter</t>
  </si>
  <si>
    <t>Summit Sierra Charter</t>
  </si>
  <si>
    <t>Whatcom Intergenerational Charter</t>
  </si>
  <si>
    <t>Why Not You Academy Charter</t>
  </si>
  <si>
    <t>Cle Elum - Roslyn</t>
  </si>
  <si>
    <t>Expenditures Program 21</t>
  </si>
  <si>
    <t>Expenditures Program 23</t>
  </si>
  <si>
    <t>Expenditures Program 24</t>
  </si>
  <si>
    <t>Expenditures Program 26</t>
  </si>
  <si>
    <t>Expenditures Program 29</t>
  </si>
  <si>
    <t>Total Direct Expenditures (Sum of Lines 1 through 5)</t>
  </si>
  <si>
    <t>27a</t>
  </si>
  <si>
    <t>27b</t>
  </si>
  <si>
    <t>Net Expenditures (Line 6 - Line 7 - Line 8 - Line 9 + Line 10)</t>
  </si>
  <si>
    <t>+ Federal Flow-Through</t>
  </si>
  <si>
    <t>+ Federal Carryover</t>
  </si>
  <si>
    <t>Total Number of Pupils Served (Line 14 + Line 15)</t>
  </si>
  <si>
    <t>Net Expenditures for Students Served in District (Line 11 - Line 12)</t>
  </si>
  <si>
    <t>Net Expenditures Per Pupil Served (Line 13 / Line 16)</t>
  </si>
  <si>
    <t>Net Expenditures Per Pupil Served Out of District (Line 12 / Line 18)</t>
  </si>
  <si>
    <t>3121</t>
  </si>
  <si>
    <t>4121</t>
  </si>
  <si>
    <t>4126</t>
  </si>
  <si>
    <t>4321</t>
  </si>
  <si>
    <t>4326</t>
  </si>
  <si>
    <t>5329</t>
  </si>
  <si>
    <t>6121</t>
  </si>
  <si>
    <t>6124</t>
  </si>
  <si>
    <t>6321</t>
  </si>
  <si>
    <t>6324</t>
  </si>
  <si>
    <t>7121</t>
  </si>
  <si>
    <t>21</t>
  </si>
  <si>
    <t>23</t>
  </si>
  <si>
    <t>24</t>
  </si>
  <si>
    <t>26</t>
  </si>
  <si>
    <t>29</t>
  </si>
  <si>
    <t xml:space="preserve">Account 6121 - Federal Medicaid Reimbursements  </t>
  </si>
  <si>
    <t>2021–22</t>
  </si>
  <si>
    <t>Based on FY 19–20 expenditure data</t>
  </si>
  <si>
    <t>Why Not You Academy (formerly Cascade: Midway charter)</t>
  </si>
  <si>
    <t>https://www.k12.wa.us/safs-database-files</t>
  </si>
  <si>
    <t>Excel Files</t>
  </si>
  <si>
    <t>Pinnacles Prep</t>
  </si>
  <si>
    <t xml:space="preserve">Nespelem School District  </t>
  </si>
  <si>
    <t>Impact | Commencement Bay Elementary</t>
  </si>
  <si>
    <t>Pullman Community Montessori</t>
  </si>
  <si>
    <t>CCDDD#</t>
  </si>
  <si>
    <t>Impact Commencement Bay</t>
  </si>
  <si>
    <t>Pullman Community Motessori</t>
  </si>
  <si>
    <t>Rainier Valley Leadership</t>
  </si>
  <si>
    <t>Why Not You Academy (Cascade Midway)</t>
  </si>
  <si>
    <t>Willow Public Schools</t>
  </si>
  <si>
    <t xml:space="preserve">District </t>
  </si>
  <si>
    <t>2021-22 Supplemental Certificated Contracts</t>
  </si>
  <si>
    <t>2021-22 Supplemental Certificated Contracts with benefit rate</t>
  </si>
  <si>
    <t xml:space="preserve">2021-22 Supplemental Classified Contracts </t>
  </si>
  <si>
    <t>2021-22 Supplemental Classified Contracts with benefit rate</t>
  </si>
  <si>
    <t>2021-22 Total Supplemental Contracts</t>
  </si>
  <si>
    <t>Impact Commencement</t>
  </si>
  <si>
    <t>+ Federal Safety Net Award</t>
  </si>
  <si>
    <t>21-22 Max Set Aside Program 24</t>
  </si>
  <si>
    <t>21-22 Max Set Aside Program 23</t>
  </si>
  <si>
    <t>28a</t>
  </si>
  <si>
    <t>28b</t>
  </si>
  <si>
    <t>28c</t>
  </si>
  <si>
    <t>Program</t>
  </si>
  <si>
    <t>Amount</t>
  </si>
  <si>
    <t>Account 6123 - Federal Special Ed—ARP—IDEA (FP 149)</t>
  </si>
  <si>
    <t>- Expenditures for Supplemental Contracts</t>
  </si>
  <si>
    <t>+ Number of Nonresident Pupils Served</t>
  </si>
  <si>
    <t>Account 6124 - Federal Flow-Through and Carryover</t>
  </si>
  <si>
    <t>+ Federal Flow-Through (FP 267)</t>
  </si>
  <si>
    <t>- Expenditures for Summer School</t>
  </si>
  <si>
    <t>- CCEIS Mandatory Set-aside</t>
  </si>
  <si>
    <t>+ Indirect Expenditures</t>
  </si>
  <si>
    <t>- Payments to Other School Districts for Students Served Out of District</t>
  </si>
  <si>
    <t>2020-21 Carryover to 2021-22</t>
  </si>
  <si>
    <t>CoDistID</t>
  </si>
  <si>
    <t>Organization Name</t>
  </si>
  <si>
    <t xml:space="preserve">ABERDEEN </t>
  </si>
  <si>
    <t xml:space="preserve">ALMIRA </t>
  </si>
  <si>
    <t xml:space="preserve">ASOTIN-ANATONE </t>
  </si>
  <si>
    <t xml:space="preserve">BAINBRIDGE ISLAND </t>
  </si>
  <si>
    <t xml:space="preserve">BATTLE GROUND </t>
  </si>
  <si>
    <t xml:space="preserve">BLAINE </t>
  </si>
  <si>
    <t xml:space="preserve">BRIDGEPORT </t>
  </si>
  <si>
    <t xml:space="preserve">BRINNON </t>
  </si>
  <si>
    <t xml:space="preserve">CAMAS </t>
  </si>
  <si>
    <t xml:space="preserve">CAPE FLATTERY </t>
  </si>
  <si>
    <t xml:space="preserve">CARBONADO </t>
  </si>
  <si>
    <t xml:space="preserve">CASCADE </t>
  </si>
  <si>
    <t xml:space="preserve">CASHMERE </t>
  </si>
  <si>
    <t xml:space="preserve">CASTLE ROCK </t>
  </si>
  <si>
    <t>CATALYST PUBLIC SCHOOLS</t>
  </si>
  <si>
    <t xml:space="preserve">CENTRAL KITSAP </t>
  </si>
  <si>
    <t xml:space="preserve">CHEHALIS </t>
  </si>
  <si>
    <t xml:space="preserve">CHEWELAH </t>
  </si>
  <si>
    <t xml:space="preserve">CHIMACUM </t>
  </si>
  <si>
    <t xml:space="preserve">COLFAX </t>
  </si>
  <si>
    <t xml:space="preserve">COLLEGE PLACE </t>
  </si>
  <si>
    <t xml:space="preserve">COLTON </t>
  </si>
  <si>
    <t xml:space="preserve">COLUMBIA (STEVENS) </t>
  </si>
  <si>
    <t xml:space="preserve">COLVILLE </t>
  </si>
  <si>
    <t xml:space="preserve">CONWAY </t>
  </si>
  <si>
    <t xml:space="preserve">COULEE-HARTLINE </t>
  </si>
  <si>
    <t xml:space="preserve">COUPEVILLE </t>
  </si>
  <si>
    <t xml:space="preserve">CURLEW </t>
  </si>
  <si>
    <t xml:space="preserve">DAVENPORT </t>
  </si>
  <si>
    <t xml:space="preserve">DIERINGER </t>
  </si>
  <si>
    <t>EAST VALLEY  (SPOKANE)</t>
  </si>
  <si>
    <t xml:space="preserve">EATONVILLE </t>
  </si>
  <si>
    <t xml:space="preserve">EDMONDS </t>
  </si>
  <si>
    <t xml:space="preserve">ELLENSBURG </t>
  </si>
  <si>
    <t xml:space="preserve">ENDICOTT </t>
  </si>
  <si>
    <t xml:space="preserve">EVALINE </t>
  </si>
  <si>
    <t xml:space="preserve">EVERETT </t>
  </si>
  <si>
    <t>EVERGREEN  (CLARK)</t>
  </si>
  <si>
    <t>EVERGREEN  (STEVENS)</t>
  </si>
  <si>
    <t xml:space="preserve">FEDERAL WAY </t>
  </si>
  <si>
    <t xml:space="preserve">FIFE </t>
  </si>
  <si>
    <t xml:space="preserve">GARFIELD </t>
  </si>
  <si>
    <t xml:space="preserve">GRAND COULEE DAM </t>
  </si>
  <si>
    <t xml:space="preserve">GRANDVIEW </t>
  </si>
  <si>
    <t xml:space="preserve">GRANGER </t>
  </si>
  <si>
    <t xml:space="preserve">GRANITE FALLS </t>
  </si>
  <si>
    <t xml:space="preserve">GREAT NORTHERN </t>
  </si>
  <si>
    <t xml:space="preserve">HIGHLINE </t>
  </si>
  <si>
    <t xml:space="preserve">HOCKINSON </t>
  </si>
  <si>
    <t xml:space="preserve">HOOD CANAL </t>
  </si>
  <si>
    <t xml:space="preserve">HOQUIAM </t>
  </si>
  <si>
    <t>IMPACT | PUGET SOUND ELEMENTARY</t>
  </si>
  <si>
    <t>IMPACT | SALISH SEA ELEMENTARY</t>
  </si>
  <si>
    <t xml:space="preserve">INCHELIUM </t>
  </si>
  <si>
    <t xml:space="preserve">INDEX </t>
  </si>
  <si>
    <t xml:space="preserve">INNOVATION CHARTER SCHOOL </t>
  </si>
  <si>
    <t xml:space="preserve">KELSO </t>
  </si>
  <si>
    <t xml:space="preserve">LA CONNER </t>
  </si>
  <si>
    <t xml:space="preserve">LACROSSE </t>
  </si>
  <si>
    <t xml:space="preserve">LAMONT </t>
  </si>
  <si>
    <t xml:space="preserve">LIBERTY </t>
  </si>
  <si>
    <t xml:space="preserve">LIND </t>
  </si>
  <si>
    <t xml:space="preserve">LOON LAKE </t>
  </si>
  <si>
    <t>LUMEN PUBLIC SCHOOL</t>
  </si>
  <si>
    <t xml:space="preserve">MABTON </t>
  </si>
  <si>
    <t xml:space="preserve">MARY WALKER </t>
  </si>
  <si>
    <t xml:space="preserve">MCCLEARY </t>
  </si>
  <si>
    <t xml:space="preserve">MEDICAL LAKE </t>
  </si>
  <si>
    <t xml:space="preserve">MERIDIAN </t>
  </si>
  <si>
    <t xml:space="preserve">MONROE </t>
  </si>
  <si>
    <t xml:space="preserve">MONTESANO </t>
  </si>
  <si>
    <t xml:space="preserve">MORTON </t>
  </si>
  <si>
    <t xml:space="preserve">MOUNT ADAMS </t>
  </si>
  <si>
    <t xml:space="preserve">MOUNT BAKER </t>
  </si>
  <si>
    <t xml:space="preserve">MOUNT VERNON </t>
  </si>
  <si>
    <t xml:space="preserve">NACHES VALLEY </t>
  </si>
  <si>
    <t xml:space="preserve">NESPELEM   </t>
  </si>
  <si>
    <t xml:space="preserve">NINE MILE FALLS </t>
  </si>
  <si>
    <t xml:space="preserve">NOOKSACK VALLEY </t>
  </si>
  <si>
    <t xml:space="preserve">NORTH FRANKLIN </t>
  </si>
  <si>
    <t xml:space="preserve">NORTH KITSAP </t>
  </si>
  <si>
    <t xml:space="preserve">NORTH MASON </t>
  </si>
  <si>
    <t xml:space="preserve">OAK HARBOR </t>
  </si>
  <si>
    <t xml:space="preserve">OAKESDALE </t>
  </si>
  <si>
    <t xml:space="preserve">OAKVILLE </t>
  </si>
  <si>
    <t xml:space="preserve">ODESSA </t>
  </si>
  <si>
    <t>OFFICE OF THE GOVERNOR (SCH FOR BLIND)</t>
  </si>
  <si>
    <t xml:space="preserve">OLYMPIA </t>
  </si>
  <si>
    <t xml:space="preserve">OMAK </t>
  </si>
  <si>
    <t xml:space="preserve">ORCAS ISLAND </t>
  </si>
  <si>
    <t xml:space="preserve">OROVILLE </t>
  </si>
  <si>
    <t xml:space="preserve">PE ELL </t>
  </si>
  <si>
    <t xml:space="preserve">PENINSULA </t>
  </si>
  <si>
    <t xml:space="preserve">POMEROY </t>
  </si>
  <si>
    <t xml:space="preserve">PORT TOWNSEND </t>
  </si>
  <si>
    <t xml:space="preserve">PRIDE PREP CHARTER </t>
  </si>
  <si>
    <t xml:space="preserve">PROSSER </t>
  </si>
  <si>
    <t xml:space="preserve">QUEETS-CLEARWATER </t>
  </si>
  <si>
    <t xml:space="preserve">QUINCY </t>
  </si>
  <si>
    <t xml:space="preserve">RAINIER PREP CHARTER </t>
  </si>
  <si>
    <t xml:space="preserve">RAINIER VALLEY LEADERSHIP ACADEMY </t>
  </si>
  <si>
    <t xml:space="preserve">RENTON </t>
  </si>
  <si>
    <t xml:space="preserve">REPUBLIC </t>
  </si>
  <si>
    <t xml:space="preserve">RITZVILLE </t>
  </si>
  <si>
    <t xml:space="preserve">RIVERSIDE </t>
  </si>
  <si>
    <t xml:space="preserve">ROYAL </t>
  </si>
  <si>
    <t xml:space="preserve">SELAH </t>
  </si>
  <si>
    <t xml:space="preserve">SELKIRK </t>
  </si>
  <si>
    <t xml:space="preserve">SNOHOMISH </t>
  </si>
  <si>
    <t xml:space="preserve">SOAP LAKE </t>
  </si>
  <si>
    <t xml:space="preserve">SOUTH KITSAP </t>
  </si>
  <si>
    <t xml:space="preserve">SOUTH WHIDBEY </t>
  </si>
  <si>
    <t xml:space="preserve">SOUTHSIDE </t>
  </si>
  <si>
    <t xml:space="preserve">SPOKANE </t>
  </si>
  <si>
    <t xml:space="preserve">SPRAGUE </t>
  </si>
  <si>
    <t xml:space="preserve">ST. JOHN </t>
  </si>
  <si>
    <t xml:space="preserve">STEPTOE </t>
  </si>
  <si>
    <t xml:space="preserve">SULTAN </t>
  </si>
  <si>
    <t>SUMMIT PUBLIC SCHOOL: ATLAS</t>
  </si>
  <si>
    <t>SUMMIT PUBLIC SCHOOL: OLYMPUS</t>
  </si>
  <si>
    <t>SUMMIT PUBLIC SCHOOL: SIERRA</t>
  </si>
  <si>
    <t xml:space="preserve">SUMMIT VALLEY </t>
  </si>
  <si>
    <t xml:space="preserve">TACOMA </t>
  </si>
  <si>
    <t xml:space="preserve">TAHOMA </t>
  </si>
  <si>
    <t xml:space="preserve">TEKOA </t>
  </si>
  <si>
    <t xml:space="preserve">THORP </t>
  </si>
  <si>
    <t xml:space="preserve">TOPPENISH </t>
  </si>
  <si>
    <t xml:space="preserve">TUMWATER </t>
  </si>
  <si>
    <t xml:space="preserve">UNION GAP </t>
  </si>
  <si>
    <t xml:space="preserve">UNIVERSITY PLACE </t>
  </si>
  <si>
    <t xml:space="preserve">VANCOUVER </t>
  </si>
  <si>
    <t xml:space="preserve">VASHON ISLAND </t>
  </si>
  <si>
    <t xml:space="preserve">WAHLUKE </t>
  </si>
  <si>
    <t>WALLA WALLA PUBLIC SCHOOLS</t>
  </si>
  <si>
    <t xml:space="preserve">WASHOUGAL </t>
  </si>
  <si>
    <t xml:space="preserve">WELLPINIT </t>
  </si>
  <si>
    <t xml:space="preserve">WENATCHEE </t>
  </si>
  <si>
    <t xml:space="preserve">WHITE RIVER </t>
  </si>
  <si>
    <t xml:space="preserve">WOODLAND </t>
  </si>
  <si>
    <t xml:space="preserve">YELM </t>
  </si>
  <si>
    <t>Program 23</t>
  </si>
  <si>
    <t xml:space="preserve">Insert County/District number in Cell B6. Insert data in cells highlighted in green. </t>
  </si>
  <si>
    <t>G</t>
  </si>
  <si>
    <t>Total Year-to-Date Expenditures for Program 23.</t>
  </si>
  <si>
    <t>Total Resources (Sum of Lines 20 through 35)</t>
  </si>
  <si>
    <t>Difference: (Line 36 - Line 11)</t>
  </si>
  <si>
    <t>Potential capacity for Safety Net awards is indicated when net expenditures on Line 11 exceed total resources on Line 36. Following the accompanying line-by-line instructions, complete Worksheet A by inserting data in the cells highlighted in green. Submit the most recent completed monthly detailed expenditure reports for the special education programs showing the budgeted and actual year-to-date expenditures. The reports must sub-total at three separate levels: (1) Object (i.e. 21-27-5), (2) Activity (i.e. 21-27), (3) Program (i.e. 21). The reports will be used by the State Oversight Committee when reviewing capacity for Safety Net funding.</t>
  </si>
  <si>
    <t>2021–22 Year End Expenditures (F-196) &amp; Related Data</t>
  </si>
  <si>
    <t>2022–23 Budgeted Expenditures (F-195) &amp; Related Data</t>
  </si>
  <si>
    <t>2021-22 Year End Revenues (F-196)</t>
  </si>
  <si>
    <t>2022-23 Budgeted Revenues (F-195)</t>
  </si>
  <si>
    <t>2022–23 YTD</t>
  </si>
  <si>
    <t>Total Year-to-date Annualized Expenditures for 2022–23.</t>
  </si>
  <si>
    <t>2022-23 Supplemental Classified Contracts with benefit rate</t>
  </si>
  <si>
    <t>2022-23 Total Supplemental Contracts</t>
  </si>
  <si>
    <t>2022-23 IDEA Part B Allocations</t>
  </si>
  <si>
    <t>Sum of Amount</t>
  </si>
  <si>
    <t>2022-23</t>
  </si>
  <si>
    <t>Based on FY 20–21 expenditure data</t>
  </si>
  <si>
    <t>CATALYST CHARTER</t>
  </si>
  <si>
    <t>IMPACT - COMMENCEMENT BAY CHARTER</t>
  </si>
  <si>
    <t>IMPACT - SALISH SEA CHARTER</t>
  </si>
  <si>
    <t>LUMENS HIGH SCHOOL CHARTER</t>
  </si>
  <si>
    <t>PINNACLES PREP CHARTER</t>
  </si>
  <si>
    <t>PULLMAN COMM MONTESOURI CHARTER</t>
  </si>
  <si>
    <t>WHATCOM INTERGENERATIONAL CHARTER</t>
  </si>
  <si>
    <t>WHY NOT YOU ACADEMY CHARTER</t>
  </si>
  <si>
    <t>Source: S-275 in SAFS for individual reports 
P:\S Drive Files\Safety Net\2022-23\Supplemental Contracts</t>
  </si>
  <si>
    <t xml:space="preserve">Source: https://www.k12.wa.us/safs-database-files
</t>
  </si>
  <si>
    <t>https://www.k12.wa.us/sites/default/files/public/safs/ins/mis/AF1952223.zip</t>
  </si>
  <si>
    <t>Extract - School Year 2022-2023, October 2022 data</t>
  </si>
  <si>
    <t>Extract - School Year 2021-2022, August 2022 data</t>
  </si>
  <si>
    <t>https://www.k12.wa.us/sites/default/files/public/safs/misc/2021-22/2122_Extract_Files.zip</t>
  </si>
  <si>
    <t>https://www.k12.wa.us/sites/default/files/public/safs/misc/2022-23/2223_Extract_Files.zip</t>
  </si>
  <si>
    <t>6257</t>
  </si>
  <si>
    <t>6123</t>
  </si>
  <si>
    <t>Pinnacle Prep Charter</t>
  </si>
  <si>
    <t>Quileute Tribal</t>
  </si>
  <si>
    <t>Lacenter</t>
  </si>
  <si>
    <t>Quinault</t>
  </si>
  <si>
    <t>RVLA Charter</t>
  </si>
  <si>
    <t>Impact Puget Sound Charter</t>
  </si>
  <si>
    <t>Why Not You Charter</t>
  </si>
  <si>
    <t>Bainbridge</t>
  </si>
  <si>
    <t>Suquamish (Chief Kitsap) Tribal</t>
  </si>
  <si>
    <t>Reardan</t>
  </si>
  <si>
    <t>Naselle Grays Riv</t>
  </si>
  <si>
    <t>Chief Leschi Tribal</t>
  </si>
  <si>
    <t>Impact Comm Bay Charter</t>
  </si>
  <si>
    <t>Orcas</t>
  </si>
  <si>
    <t>Burlington Edison</t>
  </si>
  <si>
    <t>Sedro Woolley</t>
  </si>
  <si>
    <t>Mt Vernon</t>
  </si>
  <si>
    <t>Stanwood</t>
  </si>
  <si>
    <t>Spokane Int'l Charter</t>
  </si>
  <si>
    <t>Evergreen (Stevevenson)</t>
  </si>
  <si>
    <t>Columbia (Stevenson)</t>
  </si>
  <si>
    <t>Wa He Lut Tribal</t>
  </si>
  <si>
    <t>Columbia (Walla)</t>
  </si>
  <si>
    <t>Whatcom Int'g Charter</t>
  </si>
  <si>
    <t>Lummi Tribal</t>
  </si>
  <si>
    <t>Lacrosse Joint</t>
  </si>
  <si>
    <t>Pullman Mont Charter</t>
  </si>
  <si>
    <t>Local Education Agency (LEA)</t>
  </si>
  <si>
    <t>Impact Commencement Bay Tacoma</t>
  </si>
  <si>
    <t>Rainier Valley Leadership Academy</t>
  </si>
  <si>
    <t>WA State Center for Childhood Deafness and Hearing Loss</t>
  </si>
  <si>
    <t>Why Not You Academy</t>
  </si>
  <si>
    <t>2021-22 Carryover to 2022-23</t>
  </si>
  <si>
    <t xml:space="preserve">Aberdeen </t>
  </si>
  <si>
    <t xml:space="preserve">Adna </t>
  </si>
  <si>
    <t xml:space="preserve">Almira </t>
  </si>
  <si>
    <t xml:space="preserve">Anacortes </t>
  </si>
  <si>
    <t xml:space="preserve">Arlington </t>
  </si>
  <si>
    <t xml:space="preserve">Asotin-Anatone </t>
  </si>
  <si>
    <t xml:space="preserve">Auburn </t>
  </si>
  <si>
    <t xml:space="preserve">Bainbridge Island </t>
  </si>
  <si>
    <t xml:space="preserve">Battle Ground </t>
  </si>
  <si>
    <t xml:space="preserve">Bellevue </t>
  </si>
  <si>
    <t xml:space="preserve">Bellingham </t>
  </si>
  <si>
    <t xml:space="preserve">Benge </t>
  </si>
  <si>
    <t xml:space="preserve">Bethel </t>
  </si>
  <si>
    <t xml:space="preserve">Blaine </t>
  </si>
  <si>
    <t xml:space="preserve">Boistfort </t>
  </si>
  <si>
    <t xml:space="preserve">Bremerton </t>
  </si>
  <si>
    <t xml:space="preserve">Bridgeport </t>
  </si>
  <si>
    <t xml:space="preserve">Brinnon </t>
  </si>
  <si>
    <t xml:space="preserve">Burlington-Edison </t>
  </si>
  <si>
    <t xml:space="preserve">Camas </t>
  </si>
  <si>
    <t xml:space="preserve">Cape Flattery </t>
  </si>
  <si>
    <t xml:space="preserve">Carbonado </t>
  </si>
  <si>
    <t xml:space="preserve">Cascade </t>
  </si>
  <si>
    <t xml:space="preserve">Cashmere </t>
  </si>
  <si>
    <t xml:space="preserve">Castle Rock </t>
  </si>
  <si>
    <t xml:space="preserve">Central Kitsap </t>
  </si>
  <si>
    <t xml:space="preserve">Central Valley </t>
  </si>
  <si>
    <t xml:space="preserve">Centralia </t>
  </si>
  <si>
    <t xml:space="preserve">Chehalis </t>
  </si>
  <si>
    <t xml:space="preserve">Cheney </t>
  </si>
  <si>
    <t xml:space="preserve">Chewelah </t>
  </si>
  <si>
    <t xml:space="preserve">Chimacum </t>
  </si>
  <si>
    <t xml:space="preserve">Clarkston </t>
  </si>
  <si>
    <t xml:space="preserve">Cle Elum-Roslyn </t>
  </si>
  <si>
    <t xml:space="preserve">Colfax </t>
  </si>
  <si>
    <t xml:space="preserve">College Place </t>
  </si>
  <si>
    <t xml:space="preserve">Colton </t>
  </si>
  <si>
    <t xml:space="preserve">Columbia (Stevens) </t>
  </si>
  <si>
    <t xml:space="preserve">Columbia (Walla Walla) </t>
  </si>
  <si>
    <t xml:space="preserve">Colville </t>
  </si>
  <si>
    <t xml:space="preserve">Concrete </t>
  </si>
  <si>
    <t xml:space="preserve">Conway </t>
  </si>
  <si>
    <t xml:space="preserve">Cosmopolis </t>
  </si>
  <si>
    <t xml:space="preserve">Coulee-Hartline </t>
  </si>
  <si>
    <t xml:space="preserve">Coupeville </t>
  </si>
  <si>
    <t xml:space="preserve">Crescent </t>
  </si>
  <si>
    <t xml:space="preserve">Creston </t>
  </si>
  <si>
    <t xml:space="preserve">Curlew </t>
  </si>
  <si>
    <t xml:space="preserve">Cusick </t>
  </si>
  <si>
    <t xml:space="preserve">Damman </t>
  </si>
  <si>
    <t xml:space="preserve">Darrington </t>
  </si>
  <si>
    <t xml:space="preserve">Davenport </t>
  </si>
  <si>
    <t xml:space="preserve">Deer Park </t>
  </si>
  <si>
    <t xml:space="preserve">Dieringer </t>
  </si>
  <si>
    <t>East Valley  (Spokane)</t>
  </si>
  <si>
    <t>East Valley  (Yakima)</t>
  </si>
  <si>
    <t xml:space="preserve">Eastmont </t>
  </si>
  <si>
    <t xml:space="preserve">Easton </t>
  </si>
  <si>
    <t xml:space="preserve">Eatonville </t>
  </si>
  <si>
    <t xml:space="preserve">Edmonds </t>
  </si>
  <si>
    <t xml:space="preserve">Ellensburg </t>
  </si>
  <si>
    <t xml:space="preserve">Elma </t>
  </si>
  <si>
    <t xml:space="preserve">Endicott </t>
  </si>
  <si>
    <t xml:space="preserve">Entiat </t>
  </si>
  <si>
    <t xml:space="preserve">Enumclaw </t>
  </si>
  <si>
    <t xml:space="preserve">Ephrata </t>
  </si>
  <si>
    <t xml:space="preserve">Evaline </t>
  </si>
  <si>
    <t xml:space="preserve">Everett </t>
  </si>
  <si>
    <t>Evergreen  (Clark)</t>
  </si>
  <si>
    <t>Evergreen  (Stevens)</t>
  </si>
  <si>
    <t xml:space="preserve">Federal Way </t>
  </si>
  <si>
    <t xml:space="preserve">Ferndale </t>
  </si>
  <si>
    <t xml:space="preserve">Fife </t>
  </si>
  <si>
    <t xml:space="preserve">Finley </t>
  </si>
  <si>
    <t xml:space="preserve">Franklin Pierce </t>
  </si>
  <si>
    <t xml:space="preserve">Freeman </t>
  </si>
  <si>
    <t xml:space="preserve">Garfield </t>
  </si>
  <si>
    <t xml:space="preserve">Grand Coulee Dam </t>
  </si>
  <si>
    <t xml:space="preserve">Grandview </t>
  </si>
  <si>
    <t xml:space="preserve">Granger </t>
  </si>
  <si>
    <t xml:space="preserve">Granite Falls </t>
  </si>
  <si>
    <t xml:space="preserve">Grapeview </t>
  </si>
  <si>
    <t xml:space="preserve">Great Northern </t>
  </si>
  <si>
    <t xml:space="preserve">Griffin </t>
  </si>
  <si>
    <t xml:space="preserve">Harrington </t>
  </si>
  <si>
    <t xml:space="preserve">Highland </t>
  </si>
  <si>
    <t xml:space="preserve">Highline </t>
  </si>
  <si>
    <t xml:space="preserve">Hockinson </t>
  </si>
  <si>
    <t xml:space="preserve">Hood Canal </t>
  </si>
  <si>
    <t xml:space="preserve">Hoquiam </t>
  </si>
  <si>
    <t>Impact Commencement Bay Elementary</t>
  </si>
  <si>
    <t xml:space="preserve">Inchelium </t>
  </si>
  <si>
    <t xml:space="preserve">Index </t>
  </si>
  <si>
    <t xml:space="preserve">Issaquah </t>
  </si>
  <si>
    <t xml:space="preserve">Keller </t>
  </si>
  <si>
    <t xml:space="preserve">Kelso </t>
  </si>
  <si>
    <t xml:space="preserve">Kennewick </t>
  </si>
  <si>
    <t xml:space="preserve">Kent </t>
  </si>
  <si>
    <t xml:space="preserve">Kettle Falls </t>
  </si>
  <si>
    <t xml:space="preserve">Kiona-Benton City </t>
  </si>
  <si>
    <t xml:space="preserve">Kittitas </t>
  </si>
  <si>
    <t xml:space="preserve">La Center </t>
  </si>
  <si>
    <t xml:space="preserve">La Conner </t>
  </si>
  <si>
    <t xml:space="preserve">Lacrosse </t>
  </si>
  <si>
    <t xml:space="preserve">Lake Chelan </t>
  </si>
  <si>
    <t xml:space="preserve">Lake Stevens </t>
  </si>
  <si>
    <t xml:space="preserve">Lake Washington </t>
  </si>
  <si>
    <t xml:space="preserve">Lakewood </t>
  </si>
  <si>
    <t xml:space="preserve">Lamont </t>
  </si>
  <si>
    <t xml:space="preserve">Liberty </t>
  </si>
  <si>
    <t xml:space="preserve">Lind </t>
  </si>
  <si>
    <t xml:space="preserve">Longview </t>
  </si>
  <si>
    <t xml:space="preserve">Loon Lake </t>
  </si>
  <si>
    <t xml:space="preserve">Lopez </t>
  </si>
  <si>
    <t xml:space="preserve">Lynden </t>
  </si>
  <si>
    <t xml:space="preserve">Mabton </t>
  </si>
  <si>
    <t xml:space="preserve">Mansfield </t>
  </si>
  <si>
    <t xml:space="preserve">Manson </t>
  </si>
  <si>
    <t xml:space="preserve">Mary M Knight </t>
  </si>
  <si>
    <t xml:space="preserve">Mary Walker </t>
  </si>
  <si>
    <t xml:space="preserve">Marysville </t>
  </si>
  <si>
    <t xml:space="preserve">McCleary </t>
  </si>
  <si>
    <t xml:space="preserve">Mead </t>
  </si>
  <si>
    <t xml:space="preserve">Medical Lake </t>
  </si>
  <si>
    <t xml:space="preserve">Mercer Island </t>
  </si>
  <si>
    <t xml:space="preserve">Meridian </t>
  </si>
  <si>
    <t xml:space="preserve">Monroe </t>
  </si>
  <si>
    <t xml:space="preserve">Montesano </t>
  </si>
  <si>
    <t xml:space="preserve">Morton </t>
  </si>
  <si>
    <t xml:space="preserve">Moses Lake </t>
  </si>
  <si>
    <t xml:space="preserve">Mossyrock </t>
  </si>
  <si>
    <t xml:space="preserve">Mount Adams </t>
  </si>
  <si>
    <t xml:space="preserve">Mount Vernon </t>
  </si>
  <si>
    <t xml:space="preserve">Mukilteo </t>
  </si>
  <si>
    <t xml:space="preserve">Naches Valley </t>
  </si>
  <si>
    <t xml:space="preserve">Napavine </t>
  </si>
  <si>
    <t xml:space="preserve">Nespelem   </t>
  </si>
  <si>
    <t xml:space="preserve">Newport </t>
  </si>
  <si>
    <t xml:space="preserve">Nine Mile Falls </t>
  </si>
  <si>
    <t xml:space="preserve">Nooksack Valley </t>
  </si>
  <si>
    <t xml:space="preserve">North Beach </t>
  </si>
  <si>
    <t xml:space="preserve">North Franklin </t>
  </si>
  <si>
    <t xml:space="preserve">North Kitsap </t>
  </si>
  <si>
    <t xml:space="preserve">North Mason </t>
  </si>
  <si>
    <t xml:space="preserve">North River </t>
  </si>
  <si>
    <t xml:space="preserve">Northport </t>
  </si>
  <si>
    <t xml:space="preserve">Northshore </t>
  </si>
  <si>
    <t xml:space="preserve">Oak Harbor </t>
  </si>
  <si>
    <t xml:space="preserve">Oakesdale </t>
  </si>
  <si>
    <t xml:space="preserve">Oakville </t>
  </si>
  <si>
    <t xml:space="preserve">Ocosta </t>
  </si>
  <si>
    <t xml:space="preserve">Odessa </t>
  </si>
  <si>
    <t>Office Of The Governor (Sch For Blind)</t>
  </si>
  <si>
    <t xml:space="preserve">Okanogan </t>
  </si>
  <si>
    <t xml:space="preserve">Olympia </t>
  </si>
  <si>
    <t xml:space="preserve">Omak </t>
  </si>
  <si>
    <t xml:space="preserve">Onalaska </t>
  </si>
  <si>
    <t xml:space="preserve">Onion Creek </t>
  </si>
  <si>
    <t xml:space="preserve">Orcas Island </t>
  </si>
  <si>
    <t xml:space="preserve">Orchard Prairie </t>
  </si>
  <si>
    <t xml:space="preserve">Orient </t>
  </si>
  <si>
    <t xml:space="preserve">Oroville </t>
  </si>
  <si>
    <t xml:space="preserve">Orting </t>
  </si>
  <si>
    <t xml:space="preserve">Othello </t>
  </si>
  <si>
    <t xml:space="preserve">Palisades </t>
  </si>
  <si>
    <t xml:space="preserve">Palouse </t>
  </si>
  <si>
    <t xml:space="preserve">Pasco </t>
  </si>
  <si>
    <t xml:space="preserve">Pateros </t>
  </si>
  <si>
    <t xml:space="preserve">Paterson </t>
  </si>
  <si>
    <t xml:space="preserve">Pe Ell </t>
  </si>
  <si>
    <t xml:space="preserve">Peninsula </t>
  </si>
  <si>
    <t xml:space="preserve">Pioneer </t>
  </si>
  <si>
    <t xml:space="preserve">Pomeroy </t>
  </si>
  <si>
    <t xml:space="preserve">Port Angeles </t>
  </si>
  <si>
    <t xml:space="preserve">Port Townsend </t>
  </si>
  <si>
    <t xml:space="preserve">Prescott </t>
  </si>
  <si>
    <t xml:space="preserve">Pride Prep Charter </t>
  </si>
  <si>
    <t xml:space="preserve">Prosser </t>
  </si>
  <si>
    <t xml:space="preserve">Pullman </t>
  </si>
  <si>
    <t xml:space="preserve">Puyallup </t>
  </si>
  <si>
    <t xml:space="preserve">Queets-Clearwater </t>
  </si>
  <si>
    <t xml:space="preserve">Quilcene </t>
  </si>
  <si>
    <t xml:space="preserve">Quillayute Valley </t>
  </si>
  <si>
    <t xml:space="preserve">Quincy </t>
  </si>
  <si>
    <t xml:space="preserve">Rainier Prep Charter </t>
  </si>
  <si>
    <t xml:space="preserve">Rainier </t>
  </si>
  <si>
    <t xml:space="preserve">Reardan-Edwall </t>
  </si>
  <si>
    <t xml:space="preserve">Renton </t>
  </si>
  <si>
    <t xml:space="preserve">Republic </t>
  </si>
  <si>
    <t xml:space="preserve">Richland </t>
  </si>
  <si>
    <t xml:space="preserve">Ridgefield </t>
  </si>
  <si>
    <t xml:space="preserve">Ritzville </t>
  </si>
  <si>
    <t xml:space="preserve">Riverside </t>
  </si>
  <si>
    <t xml:space="preserve">Riverview </t>
  </si>
  <si>
    <t xml:space="preserve">Rochester </t>
  </si>
  <si>
    <t xml:space="preserve">Rosalia </t>
  </si>
  <si>
    <t xml:space="preserve">Royal </t>
  </si>
  <si>
    <t xml:space="preserve">San Juan Island </t>
  </si>
  <si>
    <t xml:space="preserve">Satsop </t>
  </si>
  <si>
    <t xml:space="preserve">Sedro-Woolley </t>
  </si>
  <si>
    <t xml:space="preserve">Selah </t>
  </si>
  <si>
    <t xml:space="preserve">Selkirk </t>
  </si>
  <si>
    <t xml:space="preserve">Sequim </t>
  </si>
  <si>
    <t xml:space="preserve">Shelton </t>
  </si>
  <si>
    <t xml:space="preserve">Shoreline </t>
  </si>
  <si>
    <t xml:space="preserve">Skykomish </t>
  </si>
  <si>
    <t xml:space="preserve">Snohomish </t>
  </si>
  <si>
    <t xml:space="preserve">Snoqualmie Valley </t>
  </si>
  <si>
    <t xml:space="preserve">Soap Lake </t>
  </si>
  <si>
    <t xml:space="preserve">South Bend </t>
  </si>
  <si>
    <t xml:space="preserve">South Kitsap </t>
  </si>
  <si>
    <t xml:space="preserve">South Whidbey </t>
  </si>
  <si>
    <t xml:space="preserve">Southside </t>
  </si>
  <si>
    <t xml:space="preserve">Spokane </t>
  </si>
  <si>
    <t xml:space="preserve">Sprague </t>
  </si>
  <si>
    <t xml:space="preserve">St. John </t>
  </si>
  <si>
    <t xml:space="preserve">Stanwood-Camano </t>
  </si>
  <si>
    <t xml:space="preserve">Starbuck </t>
  </si>
  <si>
    <t xml:space="preserve">Steilacoom Hist. </t>
  </si>
  <si>
    <t xml:space="preserve">Steptoe </t>
  </si>
  <si>
    <t xml:space="preserve">Sultan </t>
  </si>
  <si>
    <t xml:space="preserve">Summit Valley </t>
  </si>
  <si>
    <t xml:space="preserve">Sumner </t>
  </si>
  <si>
    <t xml:space="preserve">Sunnyside </t>
  </si>
  <si>
    <t xml:space="preserve">Tacoma </t>
  </si>
  <si>
    <t xml:space="preserve">Taholah </t>
  </si>
  <si>
    <t xml:space="preserve">Tahoma </t>
  </si>
  <si>
    <t xml:space="preserve">Tekoa </t>
  </si>
  <si>
    <t xml:space="preserve">Tenino </t>
  </si>
  <si>
    <t xml:space="preserve">Thorp </t>
  </si>
  <si>
    <t xml:space="preserve">Toledo </t>
  </si>
  <si>
    <t xml:space="preserve">Tonasket </t>
  </si>
  <si>
    <t xml:space="preserve">Toppenish </t>
  </si>
  <si>
    <t xml:space="preserve">Touchet </t>
  </si>
  <si>
    <t xml:space="preserve">Tukwila </t>
  </si>
  <si>
    <t xml:space="preserve">Tumwater </t>
  </si>
  <si>
    <t xml:space="preserve">Union Gap </t>
  </si>
  <si>
    <t xml:space="preserve">University Place </t>
  </si>
  <si>
    <t xml:space="preserve">Valley </t>
  </si>
  <si>
    <t xml:space="preserve">Vancouver </t>
  </si>
  <si>
    <t xml:space="preserve">Vashon Island </t>
  </si>
  <si>
    <t xml:space="preserve">Wahluke </t>
  </si>
  <si>
    <t xml:space="preserve">Waitsburg </t>
  </si>
  <si>
    <t xml:space="preserve">Wapato </t>
  </si>
  <si>
    <t xml:space="preserve">Warden </t>
  </si>
  <si>
    <t>Washington Center For Deaf And Hard Of Hearing Youth</t>
  </si>
  <si>
    <t xml:space="preserve">Washougal </t>
  </si>
  <si>
    <t xml:space="preserve">Washtucna </t>
  </si>
  <si>
    <t xml:space="preserve">Wellpinit </t>
  </si>
  <si>
    <t xml:space="preserve">Wenatchee </t>
  </si>
  <si>
    <t>West Valley  (Spokane)</t>
  </si>
  <si>
    <t>West Valley  (Yakima)</t>
  </si>
  <si>
    <t xml:space="preserve">White Pass </t>
  </si>
  <si>
    <t xml:space="preserve">White River </t>
  </si>
  <si>
    <t>Why Not You Academy (Formerly Cascade: Midway Charter</t>
  </si>
  <si>
    <t xml:space="preserve">Wilbur </t>
  </si>
  <si>
    <t xml:space="preserve">Willapa Valley </t>
  </si>
  <si>
    <t xml:space="preserve">Wilson Creek </t>
  </si>
  <si>
    <t xml:space="preserve">Winlock </t>
  </si>
  <si>
    <t xml:space="preserve">Wishkah Valley </t>
  </si>
  <si>
    <t xml:space="preserve">Woodland </t>
  </si>
  <si>
    <t xml:space="preserve">Yakima </t>
  </si>
  <si>
    <t xml:space="preserve">Yelm </t>
  </si>
  <si>
    <t xml:space="preserve">Zillah </t>
  </si>
  <si>
    <t>FP 149 SpEd IDEA Part B Sections 611 and 619</t>
  </si>
  <si>
    <t>EDUCATIONAL SERVICE DISTRICT 112</t>
  </si>
  <si>
    <t>IMPACT COMMENCEMENT BAY ELEMENTARY</t>
  </si>
  <si>
    <t>PINNACLES PREP</t>
  </si>
  <si>
    <t>PULLMAN COMMUNITY MONTESSORI</t>
  </si>
  <si>
    <t>WHATCOM INTERGENERATIONAL HIGH SCHOOL</t>
  </si>
  <si>
    <t>WHY NOT YOU ACADEMY (FORMERLY CASCADE: MIDWAY CHARTER</t>
  </si>
  <si>
    <t>totals</t>
  </si>
  <si>
    <t>Federal 611 Total</t>
  </si>
  <si>
    <t>22-23 Max Set Aside Program 24</t>
  </si>
  <si>
    <t>2022-23 Supplemental Certificated Contracts with benefit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</si>
</sst>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0.0000"/>
    <numFmt numFmtId="168" formatCode="&quot;$&quot;#,##0.00"/>
    <numFmt numFmtId="169" formatCode="#,##0.00;\(#,##0.00\)"/>
  </numFmts>
  <fonts count="87">
    <font>
      <sz val="10"/>
      <name val="Arial"/>
    </font>
    <font>
      <sz val="11"/>
      <color theme="1"/>
      <name val="Segoe U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Arial"/>
      <family val="2"/>
    </font>
    <font>
      <b/>
      <sz val="12"/>
      <name val="Arial"/>
      <family val="2"/>
    </font>
    <font>
      <b/>
      <sz val="14"/>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Arial"/>
      <family val="2"/>
    </font>
    <font>
      <sz val="10"/>
      <name val="Arial MT"/>
    </font>
    <font>
      <sz val="10"/>
      <name val="Arial"/>
      <family val="2"/>
    </font>
    <font>
      <sz val="9"/>
      <name val="Arial"/>
      <family val="2"/>
    </font>
    <font>
      <sz val="10"/>
      <name val="Arial"/>
      <family val="2"/>
    </font>
    <font>
      <sz val="10"/>
      <name val="Arial"/>
      <family val="2"/>
    </font>
    <font>
      <sz val="10"/>
      <name val="Arial"/>
      <family val="2"/>
    </font>
    <font>
      <sz val="10"/>
      <name val="Arial"/>
      <family val="2"/>
    </font>
    <font>
      <sz val="12"/>
      <name val="Arial"/>
      <family val="2"/>
    </font>
    <font>
      <sz val="10"/>
      <color indexed="8"/>
      <name val="MS Sans Serif"/>
      <family val="2"/>
    </font>
    <font>
      <sz val="10"/>
      <color indexed="8"/>
      <name val="MS Sans Serif"/>
      <family val="2"/>
    </font>
    <font>
      <sz val="18"/>
      <name val="Arial"/>
      <family val="2"/>
    </font>
    <font>
      <sz val="11"/>
      <color theme="1"/>
      <name val="Calibri"/>
      <family val="2"/>
      <scheme val="minor"/>
    </font>
    <font>
      <sz val="10"/>
      <name val="Arial"/>
      <family val="2"/>
    </font>
    <font>
      <sz val="11"/>
      <name val="Segoe UI"/>
      <family val="2"/>
    </font>
    <font>
      <u/>
      <sz val="9"/>
      <color indexed="12"/>
      <name val="Geneva"/>
    </font>
    <font>
      <u/>
      <sz val="18"/>
      <color indexed="12"/>
      <name val="Arial"/>
      <family val="2"/>
    </font>
    <font>
      <sz val="10"/>
      <name val="Arial"/>
      <family val="2"/>
    </font>
    <font>
      <sz val="12"/>
      <name val="Segoe UI"/>
      <family val="2"/>
    </font>
    <font>
      <b/>
      <sz val="20"/>
      <name val="Segoe UI"/>
      <family val="2"/>
    </font>
    <font>
      <sz val="10"/>
      <name val="Segoe UI"/>
      <family val="2"/>
    </font>
    <font>
      <sz val="14"/>
      <name val="Segoe UI"/>
      <family val="2"/>
    </font>
    <font>
      <b/>
      <sz val="14"/>
      <name val="Segoe UI"/>
      <family val="2"/>
    </font>
    <font>
      <b/>
      <sz val="12"/>
      <name val="Segoe UI"/>
      <family val="2"/>
    </font>
    <font>
      <b/>
      <sz val="14"/>
      <color indexed="9"/>
      <name val="Segoe UI"/>
      <family val="2"/>
    </font>
    <font>
      <b/>
      <sz val="14"/>
      <color theme="0"/>
      <name val="Segoe UI"/>
      <family val="2"/>
    </font>
    <font>
      <sz val="16"/>
      <name val="Segoe UI"/>
      <family val="2"/>
    </font>
    <font>
      <sz val="18"/>
      <color rgb="FF464646"/>
      <name val="Segoe UI"/>
      <family val="2"/>
    </font>
    <font>
      <sz val="11"/>
      <name val="Calibri"/>
      <family val="2"/>
      <scheme val="minor"/>
    </font>
    <font>
      <b/>
      <sz val="11"/>
      <color theme="1"/>
      <name val="Calibri"/>
      <family val="2"/>
      <scheme val="minor"/>
    </font>
    <font>
      <b/>
      <sz val="11"/>
      <name val="Segoe UI"/>
      <family val="2"/>
    </font>
    <font>
      <sz val="11"/>
      <color theme="1"/>
      <name val="Segoe UI"/>
      <family val="2"/>
    </font>
    <font>
      <b/>
      <sz val="14"/>
      <color theme="1"/>
      <name val="Segoe UI"/>
      <family val="2"/>
    </font>
    <font>
      <sz val="11"/>
      <color rgb="FF000000"/>
      <name val="Segoe UI"/>
      <family val="2"/>
    </font>
    <font>
      <b/>
      <sz val="11"/>
      <color theme="1"/>
      <name val="Segoe UI"/>
      <family val="2"/>
    </font>
    <font>
      <u/>
      <sz val="11"/>
      <color indexed="12"/>
      <name val="Segoe UI"/>
      <family val="2"/>
    </font>
    <font>
      <b/>
      <sz val="10"/>
      <name val="Segoe UI"/>
      <family val="2"/>
    </font>
    <font>
      <sz val="11"/>
      <color rgb="FF000000"/>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666666"/>
      <name val="Segoe UI"/>
      <family val="2"/>
    </font>
    <font>
      <sz val="11"/>
      <color rgb="FF333333"/>
      <name val="Segoe UI"/>
      <family val="2"/>
    </font>
    <font>
      <sz val="10"/>
      <color indexed="8"/>
      <name val="Arial"/>
      <family val="2"/>
    </font>
    <font>
      <sz val="11"/>
      <color indexed="8"/>
      <name val="Segoe UI"/>
      <family val="2"/>
    </font>
  </fonts>
  <fills count="5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3"/>
        <bgColor indexed="64"/>
      </patternFill>
    </fill>
    <fill>
      <patternFill patternType="solid">
        <fgColor theme="0" tint="-0.499984740745262"/>
        <bgColor indexed="64"/>
      </patternFill>
    </fill>
    <fill>
      <patternFill patternType="solid">
        <fgColor rgb="FFCCFFCC"/>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indexed="22"/>
        <bgColor indexed="0"/>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theme="4" tint="0.39997558519241921"/>
      </bottom>
      <diagonal/>
    </border>
    <border>
      <left/>
      <right/>
      <top/>
      <bottom style="medium">
        <color indexed="64"/>
      </bottom>
      <diagonal/>
    </border>
    <border>
      <left style="thin">
        <color rgb="FFD0D7E5"/>
      </left>
      <right style="thin">
        <color rgb="FFD0D7E5"/>
      </right>
      <top style="thin">
        <color rgb="FFD0D7E5"/>
      </top>
      <bottom style="thin">
        <color rgb="FFD0D7E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hair">
        <color auto="1"/>
      </bottom>
      <diagonal/>
    </border>
    <border>
      <left style="hair">
        <color auto="1"/>
      </left>
      <right style="thick">
        <color auto="1"/>
      </right>
      <top style="hair">
        <color auto="1"/>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2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7" fillId="16" borderId="1" applyNumberFormat="0" applyAlignment="0" applyProtection="0"/>
    <xf numFmtId="0" fontId="18" fillId="17" borderId="2" applyNumberFormat="0" applyAlignment="0" applyProtection="0"/>
    <xf numFmtId="43" fontId="9" fillId="0" borderId="0" applyFont="0" applyFill="0" applyBorder="0" applyAlignment="0" applyProtection="0"/>
    <xf numFmtId="43" fontId="32"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4" fontId="9" fillId="0" borderId="0" applyFont="0" applyFill="0" applyBorder="0" applyAlignment="0" applyProtection="0"/>
    <xf numFmtId="44" fontId="3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2"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42" fillId="0" borderId="0"/>
    <xf numFmtId="0" fontId="9" fillId="0" borderId="0"/>
    <xf numFmtId="0" fontId="9" fillId="0" borderId="0"/>
    <xf numFmtId="0" fontId="9" fillId="0" borderId="0"/>
    <xf numFmtId="0" fontId="36" fillId="0" borderId="0">
      <alignment wrapText="1"/>
    </xf>
    <xf numFmtId="0" fontId="42" fillId="0" borderId="0"/>
    <xf numFmtId="0" fontId="37" fillId="0" borderId="0"/>
    <xf numFmtId="0" fontId="9" fillId="0" borderId="0"/>
    <xf numFmtId="0" fontId="9" fillId="0" borderId="0" applyNumberFormat="0" applyFill="0" applyBorder="0" applyAlignment="0" applyProtection="0"/>
    <xf numFmtId="0" fontId="42" fillId="0" borderId="0"/>
    <xf numFmtId="0" fontId="37" fillId="0" borderId="0"/>
    <xf numFmtId="0" fontId="31" fillId="0" borderId="0"/>
    <xf numFmtId="0" fontId="9" fillId="0" borderId="0" applyNumberFormat="0" applyFill="0" applyBorder="0" applyAlignment="0" applyProtection="0"/>
    <xf numFmtId="0" fontId="42" fillId="0" borderId="0"/>
    <xf numFmtId="0" fontId="9" fillId="0" borderId="0"/>
    <xf numFmtId="0" fontId="31" fillId="0" borderId="0"/>
    <xf numFmtId="0" fontId="9" fillId="0" borderId="0" applyNumberFormat="0" applyFill="0" applyBorder="0" applyAlignment="0" applyProtection="0"/>
    <xf numFmtId="0" fontId="42" fillId="0" borderId="0"/>
    <xf numFmtId="0" fontId="31"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37" fillId="0" borderId="0"/>
    <xf numFmtId="0" fontId="30" fillId="0" borderId="0"/>
    <xf numFmtId="0" fontId="9" fillId="0" borderId="0"/>
    <xf numFmtId="0" fontId="39" fillId="0" borderId="0"/>
    <xf numFmtId="0" fontId="34" fillId="0" borderId="0"/>
    <xf numFmtId="0" fontId="9" fillId="0" borderId="0"/>
    <xf numFmtId="0" fontId="42" fillId="0" borderId="0"/>
    <xf numFmtId="0" fontId="31" fillId="0" borderId="0"/>
    <xf numFmtId="0" fontId="9" fillId="0" borderId="0"/>
    <xf numFmtId="0" fontId="42" fillId="0" borderId="0"/>
    <xf numFmtId="0" fontId="42" fillId="0" borderId="0"/>
    <xf numFmtId="0" fontId="42" fillId="0" borderId="0"/>
    <xf numFmtId="0" fontId="31" fillId="0" borderId="0"/>
    <xf numFmtId="0" fontId="42" fillId="0" borderId="0"/>
    <xf numFmtId="0" fontId="40" fillId="0" borderId="0"/>
    <xf numFmtId="0" fontId="38" fillId="0" borderId="0"/>
    <xf numFmtId="0" fontId="42" fillId="0" borderId="0"/>
    <xf numFmtId="0" fontId="9" fillId="0" borderId="0"/>
    <xf numFmtId="0" fontId="42" fillId="0" borderId="0"/>
    <xf numFmtId="0" fontId="42" fillId="0" borderId="0"/>
    <xf numFmtId="0" fontId="42" fillId="0" borderId="0"/>
    <xf numFmtId="0" fontId="9" fillId="4" borderId="7" applyNumberFormat="0" applyFont="0" applyAlignment="0" applyProtection="0"/>
    <xf numFmtId="0" fontId="27" fillId="16" borderId="8" applyNumberFormat="0" applyAlignment="0" applyProtection="0"/>
    <xf numFmtId="9" fontId="9" fillId="0" borderId="0" applyFont="0" applyFill="0" applyBorder="0" applyAlignment="0" applyProtection="0"/>
    <xf numFmtId="9" fontId="34"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5" fillId="0" borderId="0" applyNumberForma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4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39" fillId="0" borderId="0"/>
    <xf numFmtId="0" fontId="39" fillId="0" borderId="0"/>
    <xf numFmtId="0" fontId="39" fillId="0" borderId="0"/>
    <xf numFmtId="0" fontId="9" fillId="0" borderId="0"/>
    <xf numFmtId="0" fontId="9" fillId="0" borderId="0"/>
    <xf numFmtId="0" fontId="9" fillId="0" borderId="0"/>
    <xf numFmtId="0" fontId="9" fillId="0" borderId="0"/>
    <xf numFmtId="0" fontId="9" fillId="0" borderId="0"/>
    <xf numFmtId="0" fontId="7" fillId="0" borderId="0"/>
    <xf numFmtId="0" fontId="39" fillId="0" borderId="0"/>
    <xf numFmtId="0" fontId="39" fillId="0" borderId="0"/>
    <xf numFmtId="0" fontId="39" fillId="0" borderId="0"/>
    <xf numFmtId="0" fontId="9" fillId="0" borderId="0"/>
    <xf numFmtId="0" fontId="9" fillId="0" borderId="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 fillId="0" borderId="0"/>
    <xf numFmtId="0" fontId="5" fillId="0" borderId="0"/>
    <xf numFmtId="0" fontId="39" fillId="0" borderId="0"/>
    <xf numFmtId="0" fontId="4" fillId="0" borderId="0"/>
    <xf numFmtId="0" fontId="39" fillId="0" borderId="0"/>
    <xf numFmtId="0" fontId="9" fillId="0" borderId="0">
      <alignment wrapText="1"/>
    </xf>
    <xf numFmtId="0" fontId="9" fillId="0" borderId="0">
      <alignment wrapText="1"/>
    </xf>
    <xf numFmtId="0" fontId="45" fillId="0" borderId="0" applyNumberFormat="0" applyFill="0" applyBorder="0" applyAlignment="0" applyProtection="0">
      <alignment vertical="top"/>
      <protection locked="0"/>
    </xf>
    <xf numFmtId="43" fontId="47" fillId="0" borderId="0" applyFont="0" applyFill="0" applyBorder="0" applyAlignment="0" applyProtection="0"/>
    <xf numFmtId="44" fontId="47" fillId="0" borderId="0" applyFont="0" applyFill="0" applyBorder="0" applyAlignment="0" applyProtection="0"/>
    <xf numFmtId="0" fontId="3" fillId="0" borderId="0"/>
    <xf numFmtId="9" fontId="4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68" fillId="0" borderId="0" applyNumberFormat="0" applyFill="0" applyBorder="0" applyAlignment="0" applyProtection="0"/>
    <xf numFmtId="0" fontId="69" fillId="0" borderId="29" applyNumberFormat="0" applyFill="0" applyAlignment="0" applyProtection="0"/>
    <xf numFmtId="0" fontId="70" fillId="0" borderId="30" applyNumberFormat="0" applyFill="0" applyAlignment="0" applyProtection="0"/>
    <xf numFmtId="0" fontId="71" fillId="0" borderId="31" applyNumberFormat="0" applyFill="0" applyAlignment="0" applyProtection="0"/>
    <xf numFmtId="0" fontId="71" fillId="0" borderId="0" applyNumberFormat="0" applyFill="0" applyBorder="0" applyAlignment="0" applyProtection="0"/>
    <xf numFmtId="0" fontId="72" fillId="25" borderId="0" applyNumberFormat="0" applyBorder="0" applyAlignment="0" applyProtection="0"/>
    <xf numFmtId="0" fontId="73" fillId="26" borderId="0" applyNumberFormat="0" applyBorder="0" applyAlignment="0" applyProtection="0"/>
    <xf numFmtId="0" fontId="74" fillId="27" borderId="0" applyNumberFormat="0" applyBorder="0" applyAlignment="0" applyProtection="0"/>
    <xf numFmtId="0" fontId="75" fillId="28" borderId="32" applyNumberFormat="0" applyAlignment="0" applyProtection="0"/>
    <xf numFmtId="0" fontId="76" fillId="29" borderId="33" applyNumberFormat="0" applyAlignment="0" applyProtection="0"/>
    <xf numFmtId="0" fontId="77" fillId="29" borderId="32" applyNumberFormat="0" applyAlignment="0" applyProtection="0"/>
    <xf numFmtId="0" fontId="78" fillId="0" borderId="34" applyNumberFormat="0" applyFill="0" applyAlignment="0" applyProtection="0"/>
    <xf numFmtId="0" fontId="79" fillId="30" borderId="35" applyNumberFormat="0" applyAlignment="0" applyProtection="0"/>
    <xf numFmtId="0" fontId="80" fillId="0" borderId="0" applyNumberFormat="0" applyFill="0" applyBorder="0" applyAlignment="0" applyProtection="0"/>
    <xf numFmtId="0" fontId="2" fillId="31" borderId="36" applyNumberFormat="0" applyFont="0" applyAlignment="0" applyProtection="0"/>
    <xf numFmtId="0" fontId="81" fillId="0" borderId="0" applyNumberFormat="0" applyFill="0" applyBorder="0" applyAlignment="0" applyProtection="0"/>
    <xf numFmtId="0" fontId="59" fillId="0" borderId="37" applyNumberFormat="0" applyFill="0" applyAlignment="0" applyProtection="0"/>
    <xf numFmtId="0" fontId="8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8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8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8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8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8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85" fillId="0" borderId="0"/>
  </cellStyleXfs>
  <cellXfs count="295">
    <xf numFmtId="0" fontId="0" fillId="0" borderId="0" xfId="0"/>
    <xf numFmtId="0" fontId="9" fillId="0" borderId="0" xfId="0" applyFont="1"/>
    <xf numFmtId="0" fontId="13" fillId="0" borderId="10" xfId="0" applyFont="1" applyFill="1" applyBorder="1" applyProtection="1"/>
    <xf numFmtId="0" fontId="10" fillId="0" borderId="10" xfId="0" applyFont="1" applyBorder="1" applyProtection="1"/>
    <xf numFmtId="0" fontId="8" fillId="0" borderId="0" xfId="0" applyFont="1"/>
    <xf numFmtId="0" fontId="10" fillId="0" borderId="0" xfId="0" applyFont="1" applyProtection="1"/>
    <xf numFmtId="0" fontId="13" fillId="0" borderId="0" xfId="0" applyFont="1" applyProtection="1"/>
    <xf numFmtId="0" fontId="10" fillId="0" borderId="10" xfId="0" applyFont="1" applyBorder="1" applyAlignment="1" applyProtection="1">
      <alignment horizontal="center" wrapText="1"/>
    </xf>
    <xf numFmtId="0" fontId="10" fillId="0" borderId="0" xfId="0" applyFont="1" applyAlignment="1" applyProtection="1">
      <alignment horizontal="center" wrapText="1"/>
    </xf>
    <xf numFmtId="166" fontId="13" fillId="0" borderId="10" xfId="0" applyNumberFormat="1" applyFont="1" applyFill="1" applyBorder="1" applyProtection="1"/>
    <xf numFmtId="0" fontId="13" fillId="0" borderId="10" xfId="0" applyFont="1" applyBorder="1" applyProtection="1"/>
    <xf numFmtId="166" fontId="13" fillId="0" borderId="10" xfId="0" applyNumberFormat="1" applyFont="1" applyBorder="1" applyProtection="1"/>
    <xf numFmtId="167" fontId="13" fillId="0" borderId="10" xfId="115" applyNumberFormat="1" applyFont="1" applyFill="1" applyBorder="1" applyAlignment="1" applyProtection="1">
      <alignment horizontal="right"/>
    </xf>
    <xf numFmtId="0" fontId="0" fillId="0" borderId="0" xfId="0" applyProtection="1"/>
    <xf numFmtId="0" fontId="13" fillId="0" borderId="0" xfId="0" applyFont="1" applyBorder="1" applyProtection="1"/>
    <xf numFmtId="3" fontId="13" fillId="0" borderId="0" xfId="0" applyNumberFormat="1" applyFont="1" applyFill="1" applyBorder="1" applyAlignment="1" applyProtection="1">
      <alignment horizontal="right"/>
    </xf>
    <xf numFmtId="166" fontId="13" fillId="0" borderId="10" xfId="0" applyNumberFormat="1" applyFont="1" applyFill="1" applyBorder="1" applyAlignment="1" applyProtection="1">
      <alignment horizontal="right"/>
    </xf>
    <xf numFmtId="0" fontId="13" fillId="0" borderId="0" xfId="0" applyFont="1" applyFill="1" applyProtection="1"/>
    <xf numFmtId="3" fontId="13" fillId="0" borderId="0" xfId="43" applyNumberFormat="1" applyFont="1" applyFill="1" applyBorder="1" applyAlignment="1" applyProtection="1">
      <alignment horizontal="right"/>
    </xf>
    <xf numFmtId="3" fontId="13" fillId="0" borderId="0" xfId="0" applyNumberFormat="1" applyFont="1" applyProtection="1"/>
    <xf numFmtId="0" fontId="9" fillId="0" borderId="10" xfId="0" applyFont="1" applyBorder="1" applyProtection="1"/>
    <xf numFmtId="0" fontId="9" fillId="0" borderId="0" xfId="0" applyFont="1" applyProtection="1"/>
    <xf numFmtId="0" fontId="10" fillId="0" borderId="0" xfId="0" applyFont="1" applyAlignment="1" applyProtection="1">
      <alignment horizontal="center"/>
    </xf>
    <xf numFmtId="0" fontId="0" fillId="0" borderId="0" xfId="0"/>
    <xf numFmtId="0" fontId="10" fillId="0" borderId="0" xfId="0" applyFont="1" applyBorder="1" applyAlignment="1" applyProtection="1">
      <alignment horizontal="center" wrapText="1"/>
    </xf>
    <xf numFmtId="164" fontId="12" fillId="0" borderId="0" xfId="115" applyNumberFormat="1" applyFont="1" applyAlignment="1" applyProtection="1">
      <alignment horizontal="center"/>
    </xf>
    <xf numFmtId="166" fontId="13" fillId="0" borderId="0" xfId="0" applyNumberFormat="1" applyFont="1" applyBorder="1" applyAlignment="1" applyProtection="1">
      <alignment horizontal="center"/>
    </xf>
    <xf numFmtId="166" fontId="12" fillId="0" borderId="0" xfId="0" applyNumberFormat="1" applyFont="1" applyBorder="1" applyAlignment="1" applyProtection="1">
      <alignment horizontal="center"/>
    </xf>
    <xf numFmtId="0" fontId="10" fillId="0" borderId="0" xfId="0" applyFont="1" applyBorder="1" applyAlignment="1" applyProtection="1">
      <alignment horizontal="center"/>
    </xf>
    <xf numFmtId="0" fontId="13" fillId="0" borderId="0" xfId="0" applyFont="1" applyBorder="1" applyAlignment="1" applyProtection="1">
      <alignment horizontal="center"/>
    </xf>
    <xf numFmtId="166" fontId="13" fillId="0" borderId="0" xfId="0" applyNumberFormat="1" applyFont="1" applyFill="1" applyBorder="1" applyAlignment="1" applyProtection="1">
      <alignment horizontal="center"/>
    </xf>
    <xf numFmtId="0" fontId="9" fillId="0" borderId="0" xfId="0" applyFont="1" applyBorder="1" applyAlignment="1" applyProtection="1">
      <alignment horizontal="center"/>
    </xf>
    <xf numFmtId="0" fontId="13" fillId="0" borderId="0" xfId="0" applyFont="1" applyAlignment="1" applyProtection="1">
      <alignment horizontal="center"/>
    </xf>
    <xf numFmtId="164" fontId="11" fillId="0" borderId="0" xfId="115" applyNumberFormat="1" applyFont="1" applyAlignment="1" applyProtection="1">
      <alignment horizontal="left"/>
    </xf>
    <xf numFmtId="164" fontId="11" fillId="0" borderId="0" xfId="115" applyNumberFormat="1" applyFont="1" applyBorder="1" applyAlignment="1" applyProtection="1">
      <alignment horizontal="left"/>
    </xf>
    <xf numFmtId="164" fontId="11" fillId="0" borderId="0" xfId="115" applyNumberFormat="1" applyFont="1" applyAlignment="1" applyProtection="1">
      <alignment horizontal="left" wrapText="1"/>
    </xf>
    <xf numFmtId="164" fontId="12" fillId="0" borderId="0" xfId="115" applyNumberFormat="1" applyFont="1" applyAlignment="1" applyProtection="1">
      <alignment horizontal="left"/>
    </xf>
    <xf numFmtId="164" fontId="8" fillId="0" borderId="0" xfId="115" applyNumberFormat="1" applyFont="1" applyAlignment="1" applyProtection="1">
      <alignment horizontal="left"/>
    </xf>
    <xf numFmtId="0" fontId="2" fillId="0" borderId="0" xfId="182"/>
    <xf numFmtId="0" fontId="8" fillId="0" borderId="18" xfId="182" applyFont="1" applyFill="1" applyBorder="1" applyAlignment="1">
      <alignment horizontal="left" vertical="center"/>
    </xf>
    <xf numFmtId="0" fontId="8" fillId="0" borderId="18" xfId="182" applyFont="1" applyFill="1" applyBorder="1" applyAlignment="1">
      <alignment horizontal="centerContinuous"/>
    </xf>
    <xf numFmtId="0" fontId="9" fillId="0" borderId="19" xfId="182" applyFont="1" applyFill="1" applyBorder="1" applyAlignment="1">
      <alignment horizontal="centerContinuous"/>
    </xf>
    <xf numFmtId="0" fontId="9" fillId="0" borderId="19" xfId="182" applyFont="1" applyFill="1" applyBorder="1"/>
    <xf numFmtId="164" fontId="12" fillId="0" borderId="0" xfId="115" applyNumberFormat="1" applyFont="1" applyFill="1" applyAlignment="1" applyProtection="1">
      <alignment horizontal="left"/>
    </xf>
    <xf numFmtId="166" fontId="12" fillId="0" borderId="0" xfId="115" applyNumberFormat="1" applyFont="1" applyAlignment="1" applyProtection="1">
      <alignment horizontal="left"/>
    </xf>
    <xf numFmtId="0" fontId="12" fillId="0" borderId="0" xfId="0" applyFont="1" applyAlignment="1" applyProtection="1">
      <alignment horizontal="left"/>
    </xf>
    <xf numFmtId="4" fontId="13" fillId="0" borderId="0" xfId="0" applyNumberFormat="1" applyFont="1" applyProtection="1"/>
    <xf numFmtId="0" fontId="44" fillId="0" borderId="0" xfId="0" applyFont="1" applyProtection="1"/>
    <xf numFmtId="0" fontId="49" fillId="0" borderId="0" xfId="0" applyFont="1" applyAlignment="1" applyProtection="1"/>
    <xf numFmtId="0" fontId="50" fillId="0" borderId="0" xfId="0" applyFont="1" applyAlignment="1" applyProtection="1"/>
    <xf numFmtId="0" fontId="51" fillId="0" borderId="0" xfId="0" applyFont="1" applyAlignment="1" applyProtection="1">
      <alignment vertical="center"/>
    </xf>
    <xf numFmtId="0" fontId="48" fillId="0" borderId="0" xfId="0" applyFont="1" applyProtection="1"/>
    <xf numFmtId="0" fontId="51" fillId="0" borderId="0" xfId="0" applyFont="1" applyAlignment="1" applyProtection="1"/>
    <xf numFmtId="0" fontId="44" fillId="0" borderId="10" xfId="0" applyFont="1" applyBorder="1" applyAlignment="1" applyProtection="1">
      <alignment horizontal="center" vertical="center" wrapText="1"/>
    </xf>
    <xf numFmtId="49" fontId="52" fillId="20" borderId="10" xfId="0" quotePrefix="1" applyNumberFormat="1" applyFont="1" applyFill="1" applyBorder="1" applyAlignment="1" applyProtection="1">
      <alignment horizontal="center" vertical="center" wrapText="1"/>
      <protection locked="0"/>
    </xf>
    <xf numFmtId="0" fontId="53" fillId="0" borderId="10" xfId="0" applyFont="1" applyFill="1" applyBorder="1" applyAlignment="1" applyProtection="1">
      <alignment horizontal="center" vertical="center" wrapText="1"/>
    </xf>
    <xf numFmtId="164" fontId="52" fillId="0" borderId="10" xfId="115" applyNumberFormat="1" applyFont="1" applyFill="1" applyBorder="1" applyAlignment="1" applyProtection="1">
      <alignment horizontal="center" vertical="center" wrapText="1"/>
    </xf>
    <xf numFmtId="0" fontId="44" fillId="18" borderId="10" xfId="0" applyFont="1" applyFill="1" applyBorder="1" applyAlignment="1" applyProtection="1">
      <alignment horizontal="left"/>
    </xf>
    <xf numFmtId="0" fontId="54" fillId="19" borderId="10" xfId="0" applyFont="1" applyFill="1" applyBorder="1" applyAlignment="1" applyProtection="1">
      <alignment horizontal="center" vertical="center"/>
    </xf>
    <xf numFmtId="0" fontId="53" fillId="19" borderId="10" xfId="0" applyFont="1" applyFill="1" applyBorder="1" applyAlignment="1" applyProtection="1">
      <alignment horizontal="center"/>
    </xf>
    <xf numFmtId="0" fontId="44" fillId="0" borderId="10" xfId="0" applyFont="1" applyBorder="1" applyAlignment="1" applyProtection="1">
      <alignment horizontal="left"/>
    </xf>
    <xf numFmtId="0" fontId="51" fillId="0" borderId="10" xfId="0" applyFont="1" applyFill="1" applyBorder="1" applyProtection="1"/>
    <xf numFmtId="0" fontId="51" fillId="0" borderId="10" xfId="0" applyFont="1" applyFill="1" applyBorder="1" applyAlignment="1" applyProtection="1">
      <alignment horizontal="center"/>
    </xf>
    <xf numFmtId="165" fontId="51" fillId="0" borderId="10" xfId="28" applyNumberFormat="1" applyFont="1" applyFill="1" applyBorder="1" applyProtection="1"/>
    <xf numFmtId="0" fontId="51" fillId="0" borderId="10" xfId="0" applyFont="1" applyFill="1" applyBorder="1" applyAlignment="1" applyProtection="1">
      <alignment horizontal="center" wrapText="1"/>
    </xf>
    <xf numFmtId="164" fontId="51" fillId="0" borderId="10" xfId="115" applyNumberFormat="1" applyFont="1" applyFill="1" applyBorder="1" applyAlignment="1" applyProtection="1">
      <alignment horizontal="center"/>
    </xf>
    <xf numFmtId="165" fontId="51" fillId="20" borderId="10" xfId="28" applyNumberFormat="1" applyFont="1" applyFill="1" applyBorder="1" applyProtection="1"/>
    <xf numFmtId="167" fontId="51" fillId="0" borderId="10" xfId="115" applyNumberFormat="1" applyFont="1" applyFill="1" applyBorder="1" applyAlignment="1" applyProtection="1">
      <alignment horizontal="center"/>
    </xf>
    <xf numFmtId="165" fontId="51" fillId="0" borderId="10" xfId="28" applyNumberFormat="1" applyFont="1" applyFill="1" applyBorder="1" applyAlignment="1" applyProtection="1"/>
    <xf numFmtId="3" fontId="51" fillId="0" borderId="10" xfId="0" applyNumberFormat="1" applyFont="1" applyFill="1" applyBorder="1" applyProtection="1"/>
    <xf numFmtId="165" fontId="51" fillId="0" borderId="10" xfId="28" applyNumberFormat="1" applyFont="1" applyFill="1" applyBorder="1" applyAlignment="1" applyProtection="1">
      <alignment horizontal="right"/>
    </xf>
    <xf numFmtId="164" fontId="55" fillId="19" borderId="10" xfId="0" applyNumberFormat="1" applyFont="1" applyFill="1" applyBorder="1" applyAlignment="1" applyProtection="1">
      <alignment horizontal="center" vertical="center"/>
    </xf>
    <xf numFmtId="164" fontId="55" fillId="19" borderId="10" xfId="0" applyNumberFormat="1" applyFont="1" applyFill="1" applyBorder="1" applyAlignment="1" applyProtection="1">
      <alignment horizontal="center" wrapText="1"/>
    </xf>
    <xf numFmtId="4" fontId="51" fillId="0" borderId="10" xfId="0" applyNumberFormat="1" applyFont="1" applyFill="1" applyBorder="1" applyAlignment="1" applyProtection="1">
      <alignment horizontal="center"/>
    </xf>
    <xf numFmtId="4" fontId="51" fillId="0" borderId="10" xfId="0" applyNumberFormat="1" applyFont="1" applyFill="1" applyBorder="1" applyAlignment="1" applyProtection="1">
      <alignment horizontal="right"/>
    </xf>
    <xf numFmtId="2" fontId="51" fillId="20" borderId="10" xfId="28" applyNumberFormat="1" applyFont="1" applyFill="1" applyBorder="1" applyProtection="1"/>
    <xf numFmtId="4" fontId="51" fillId="0" borderId="10" xfId="0" applyNumberFormat="1" applyFont="1" applyFill="1" applyBorder="1" applyProtection="1"/>
    <xf numFmtId="0" fontId="51" fillId="0" borderId="10" xfId="0" applyFont="1" applyFill="1" applyBorder="1" applyAlignment="1" applyProtection="1"/>
    <xf numFmtId="3" fontId="51" fillId="0" borderId="10" xfId="0" applyNumberFormat="1" applyFont="1" applyFill="1" applyBorder="1" applyAlignment="1" applyProtection="1">
      <alignment horizontal="right"/>
    </xf>
    <xf numFmtId="164" fontId="55" fillId="19" borderId="10" xfId="0" applyNumberFormat="1" applyFont="1" applyFill="1" applyBorder="1" applyAlignment="1" applyProtection="1">
      <alignment horizontal="center" vertical="center" wrapText="1"/>
    </xf>
    <xf numFmtId="0" fontId="44" fillId="0" borderId="10" xfId="0" applyFont="1" applyFill="1" applyBorder="1" applyAlignment="1" applyProtection="1">
      <alignment horizontal="left"/>
    </xf>
    <xf numFmtId="0" fontId="51" fillId="0" borderId="10" xfId="0" applyFont="1" applyFill="1" applyBorder="1" applyAlignment="1" applyProtection="1">
      <alignment horizontal="left"/>
    </xf>
    <xf numFmtId="0" fontId="52" fillId="0" borderId="10" xfId="0" applyFont="1" applyFill="1" applyBorder="1" applyAlignment="1" applyProtection="1">
      <alignment horizontal="center"/>
    </xf>
    <xf numFmtId="3" fontId="51" fillId="0" borderId="10" xfId="0" applyNumberFormat="1" applyFont="1" applyFill="1" applyBorder="1" applyAlignment="1" applyProtection="1">
      <alignment horizontal="center"/>
    </xf>
    <xf numFmtId="165" fontId="51" fillId="0" borderId="10" xfId="43" applyNumberFormat="1" applyFont="1" applyFill="1" applyBorder="1" applyAlignment="1" applyProtection="1">
      <alignment horizontal="right"/>
    </xf>
    <xf numFmtId="3" fontId="51" fillId="21" borderId="10" xfId="0" applyNumberFormat="1" applyFont="1" applyFill="1" applyBorder="1" applyAlignment="1" applyProtection="1">
      <alignment horizontal="right"/>
    </xf>
    <xf numFmtId="165" fontId="51" fillId="0" borderId="10" xfId="28" applyNumberFormat="1" applyFont="1" applyFill="1" applyBorder="1" applyAlignment="1" applyProtection="1">
      <alignment horizontal="center"/>
    </xf>
    <xf numFmtId="0" fontId="51" fillId="0" borderId="11" xfId="0" applyFont="1" applyFill="1" applyBorder="1" applyProtection="1"/>
    <xf numFmtId="3" fontId="51" fillId="0" borderId="13" xfId="0" applyNumberFormat="1" applyFont="1" applyFill="1" applyBorder="1" applyAlignment="1" applyProtection="1">
      <alignment horizontal="center"/>
    </xf>
    <xf numFmtId="0" fontId="48" fillId="0" borderId="10" xfId="0" applyFont="1" applyBorder="1" applyAlignment="1" applyProtection="1">
      <alignment horizontal="left"/>
    </xf>
    <xf numFmtId="0" fontId="48" fillId="0" borderId="10" xfId="0" applyFont="1" applyBorder="1" applyProtection="1"/>
    <xf numFmtId="0" fontId="48" fillId="20" borderId="10" xfId="0" applyFont="1" applyFill="1" applyBorder="1" applyAlignment="1" applyProtection="1">
      <protection locked="0"/>
    </xf>
    <xf numFmtId="3" fontId="48" fillId="20" borderId="10" xfId="28" applyNumberFormat="1" applyFont="1" applyFill="1" applyBorder="1" applyAlignment="1" applyProtection="1">
      <protection locked="0"/>
    </xf>
    <xf numFmtId="3" fontId="48" fillId="0" borderId="10" xfId="28" applyNumberFormat="1" applyFont="1" applyFill="1" applyBorder="1" applyAlignment="1" applyProtection="1">
      <alignment horizontal="right"/>
    </xf>
    <xf numFmtId="3" fontId="48" fillId="0" borderId="10" xfId="0" applyNumberFormat="1" applyFont="1" applyFill="1" applyBorder="1" applyAlignment="1" applyProtection="1"/>
    <xf numFmtId="3" fontId="48" fillId="0" borderId="10" xfId="0" applyNumberFormat="1" applyFont="1" applyFill="1" applyBorder="1" applyAlignment="1" applyProtection="1">
      <alignment horizontal="right"/>
    </xf>
    <xf numFmtId="0" fontId="48" fillId="0" borderId="0" xfId="0" applyFont="1" applyAlignment="1" applyProtection="1">
      <alignment horizontal="left"/>
    </xf>
    <xf numFmtId="0" fontId="48" fillId="0" borderId="0" xfId="0" applyFont="1" applyAlignment="1" applyProtection="1">
      <alignment horizontal="center"/>
    </xf>
    <xf numFmtId="0" fontId="48" fillId="0" borderId="0" xfId="0" applyFont="1" applyFill="1" applyBorder="1" applyAlignment="1" applyProtection="1">
      <alignment vertical="top"/>
    </xf>
    <xf numFmtId="0" fontId="48" fillId="0" borderId="0" xfId="0" applyFont="1" applyFill="1" applyAlignment="1" applyProtection="1">
      <alignment vertical="top"/>
    </xf>
    <xf numFmtId="0" fontId="56" fillId="0" borderId="0" xfId="0" applyFont="1" applyBorder="1" applyAlignment="1" applyProtection="1">
      <alignment wrapText="1"/>
    </xf>
    <xf numFmtId="0" fontId="48" fillId="0" borderId="0" xfId="0" applyFont="1" applyAlignment="1" applyProtection="1"/>
    <xf numFmtId="0" fontId="45" fillId="0" borderId="0" xfId="177" applyAlignment="1" applyProtection="1"/>
    <xf numFmtId="0" fontId="2" fillId="0" borderId="0" xfId="182"/>
    <xf numFmtId="0" fontId="9" fillId="0" borderId="0" xfId="182" applyFont="1" applyFill="1" applyBorder="1"/>
    <xf numFmtId="0" fontId="8" fillId="0" borderId="19" xfId="182" applyFont="1" applyFill="1" applyBorder="1"/>
    <xf numFmtId="0" fontId="8" fillId="0" borderId="14" xfId="182" applyFont="1" applyFill="1" applyBorder="1" applyAlignment="1">
      <alignment horizontal="right"/>
    </xf>
    <xf numFmtId="0" fontId="9" fillId="0" borderId="12" xfId="182" applyNumberFormat="1" applyFont="1" applyFill="1" applyBorder="1"/>
    <xf numFmtId="4" fontId="9" fillId="0" borderId="21" xfId="182" applyNumberFormat="1" applyFont="1" applyFill="1" applyBorder="1"/>
    <xf numFmtId="49" fontId="9" fillId="0" borderId="12" xfId="182" applyNumberFormat="1" applyFont="1" applyFill="1" applyBorder="1"/>
    <xf numFmtId="0" fontId="9" fillId="0" borderId="12" xfId="182" quotePrefix="1" applyNumberFormat="1" applyFont="1" applyFill="1" applyBorder="1"/>
    <xf numFmtId="0" fontId="9" fillId="0" borderId="22" xfId="182" applyFont="1" applyFill="1" applyBorder="1"/>
    <xf numFmtId="0" fontId="9" fillId="0" borderId="12" xfId="182" applyFont="1" applyFill="1" applyBorder="1"/>
    <xf numFmtId="0" fontId="8" fillId="0" borderId="18" xfId="182" applyFont="1" applyFill="1" applyBorder="1"/>
    <xf numFmtId="0" fontId="9" fillId="0" borderId="12" xfId="182" quotePrefix="1" applyFont="1" applyFill="1" applyBorder="1"/>
    <xf numFmtId="0" fontId="9" fillId="0" borderId="24" xfId="182" applyFont="1" applyFill="1" applyBorder="1"/>
    <xf numFmtId="0" fontId="44" fillId="0" borderId="0" xfId="0" applyFont="1"/>
    <xf numFmtId="2" fontId="51" fillId="0" borderId="10" xfId="28" applyNumberFormat="1" applyFont="1" applyFill="1" applyBorder="1" applyProtection="1"/>
    <xf numFmtId="0" fontId="0" fillId="0" borderId="0" xfId="0" applyAlignment="1">
      <alignment horizontal="left"/>
    </xf>
    <xf numFmtId="0" fontId="59" fillId="22" borderId="10" xfId="0" applyFont="1" applyFill="1" applyBorder="1" applyAlignment="1">
      <alignment horizontal="center" wrapText="1"/>
    </xf>
    <xf numFmtId="3" fontId="59" fillId="22" borderId="10" xfId="0" applyNumberFormat="1" applyFont="1" applyFill="1" applyBorder="1" applyAlignment="1">
      <alignment horizontal="center" wrapText="1"/>
    </xf>
    <xf numFmtId="0" fontId="0" fillId="0" borderId="10" xfId="0" applyBorder="1" applyAlignment="1">
      <alignment horizontal="center"/>
    </xf>
    <xf numFmtId="0" fontId="0" fillId="0" borderId="10" xfId="0" applyBorder="1"/>
    <xf numFmtId="0" fontId="0" fillId="0" borderId="10" xfId="0" quotePrefix="1" applyBorder="1" applyAlignment="1">
      <alignment horizontal="center"/>
    </xf>
    <xf numFmtId="0" fontId="60" fillId="0" borderId="0" xfId="0" applyFont="1" applyAlignment="1">
      <alignment wrapText="1"/>
    </xf>
    <xf numFmtId="0" fontId="61" fillId="0" borderId="0" xfId="184" applyFont="1"/>
    <xf numFmtId="0" fontId="44" fillId="0" borderId="0" xfId="0" applyFont="1" applyAlignment="1">
      <alignment wrapText="1"/>
    </xf>
    <xf numFmtId="0" fontId="9" fillId="0" borderId="0" xfId="0" quotePrefix="1" applyFont="1"/>
    <xf numFmtId="0" fontId="8" fillId="0" borderId="11" xfId="182" quotePrefix="1" applyFont="1" applyFill="1" applyBorder="1"/>
    <xf numFmtId="166" fontId="0" fillId="0" borderId="10" xfId="0" applyNumberFormat="1" applyBorder="1"/>
    <xf numFmtId="0" fontId="50" fillId="0" borderId="0" xfId="0" applyFont="1"/>
    <xf numFmtId="0" fontId="63" fillId="0" borderId="0" xfId="0" applyFont="1" applyAlignment="1">
      <alignment horizontal="left"/>
    </xf>
    <xf numFmtId="0" fontId="63" fillId="0" borderId="0" xfId="0" applyFont="1"/>
    <xf numFmtId="168" fontId="50" fillId="0" borderId="0" xfId="0" applyNumberFormat="1" applyFont="1"/>
    <xf numFmtId="166" fontId="63" fillId="0" borderId="0" xfId="0" applyNumberFormat="1" applyFont="1"/>
    <xf numFmtId="166" fontId="44" fillId="0" borderId="0" xfId="0" applyNumberFormat="1" applyFont="1"/>
    <xf numFmtId="166" fontId="50" fillId="0" borderId="0" xfId="0" applyNumberFormat="1" applyFont="1"/>
    <xf numFmtId="166" fontId="44" fillId="0" borderId="19" xfId="0" applyNumberFormat="1" applyFont="1" applyBorder="1"/>
    <xf numFmtId="0" fontId="60" fillId="0" borderId="0" xfId="165" applyNumberFormat="1" applyFont="1" applyBorder="1" applyAlignment="1">
      <alignment horizontal="left"/>
    </xf>
    <xf numFmtId="168" fontId="60" fillId="0" borderId="0" xfId="165" applyNumberFormat="1" applyFont="1" applyFill="1" applyBorder="1" applyAlignment="1">
      <alignment horizontal="center"/>
    </xf>
    <xf numFmtId="0" fontId="60" fillId="0" borderId="0" xfId="165" applyNumberFormat="1" applyFont="1" applyFill="1" applyBorder="1" applyAlignment="1">
      <alignment horizontal="center"/>
    </xf>
    <xf numFmtId="0" fontId="64" fillId="23" borderId="10" xfId="0" applyFont="1" applyFill="1" applyBorder="1" applyAlignment="1">
      <alignment horizontal="center" vertical="center" wrapText="1"/>
    </xf>
    <xf numFmtId="0" fontId="64" fillId="23" borderId="10" xfId="0" applyFont="1" applyFill="1" applyBorder="1" applyAlignment="1">
      <alignment horizontal="center" vertical="center"/>
    </xf>
    <xf numFmtId="0" fontId="61" fillId="0" borderId="10" xfId="0" applyFont="1" applyBorder="1" applyAlignment="1">
      <alignment horizontal="center" vertical="center"/>
    </xf>
    <xf numFmtId="49" fontId="61" fillId="0" borderId="10" xfId="0" applyNumberFormat="1" applyFont="1" applyBorder="1" applyAlignment="1">
      <alignment horizontal="center" vertical="center"/>
    </xf>
    <xf numFmtId="49" fontId="61" fillId="0" borderId="10" xfId="0" quotePrefix="1" applyNumberFormat="1" applyFont="1" applyBorder="1" applyAlignment="1">
      <alignment horizontal="center" vertical="center"/>
    </xf>
    <xf numFmtId="0" fontId="61" fillId="0" borderId="10" xfId="0" quotePrefix="1" applyFont="1" applyBorder="1" applyAlignment="1">
      <alignment horizontal="center" vertical="center"/>
    </xf>
    <xf numFmtId="0" fontId="61" fillId="0" borderId="10" xfId="73" quotePrefix="1" applyFont="1" applyBorder="1" applyAlignment="1">
      <alignment horizontal="center" vertical="center"/>
    </xf>
    <xf numFmtId="0" fontId="64" fillId="23" borderId="10" xfId="0" applyFont="1" applyFill="1" applyBorder="1" applyAlignment="1">
      <alignment horizontal="left" vertical="center" wrapText="1"/>
    </xf>
    <xf numFmtId="0" fontId="61" fillId="0" borderId="10" xfId="0" applyFont="1" applyBorder="1" applyAlignment="1">
      <alignment horizontal="left" vertical="center"/>
    </xf>
    <xf numFmtId="10" fontId="9" fillId="0" borderId="20" xfId="183" applyNumberFormat="1" applyFont="1" applyBorder="1" applyAlignment="1">
      <alignment horizontal="center" vertical="center"/>
    </xf>
    <xf numFmtId="10" fontId="9" fillId="0" borderId="0" xfId="0" applyNumberFormat="1" applyFont="1"/>
    <xf numFmtId="10" fontId="8" fillId="0" borderId="18" xfId="182" applyNumberFormat="1" applyFont="1" applyFill="1" applyBorder="1" applyAlignment="1">
      <alignment horizontal="centerContinuous"/>
    </xf>
    <xf numFmtId="10" fontId="8" fillId="0" borderId="17" xfId="182" applyNumberFormat="1" applyFont="1" applyFill="1" applyBorder="1" applyAlignment="1">
      <alignment horizontal="center"/>
    </xf>
    <xf numFmtId="10" fontId="33" fillId="0" borderId="20" xfId="182" applyNumberFormat="1" applyFont="1" applyFill="1" applyBorder="1" applyAlignment="1">
      <alignment horizontal="center" vertical="center" wrapText="1"/>
    </xf>
    <xf numFmtId="10" fontId="9" fillId="0" borderId="16" xfId="182" applyNumberFormat="1" applyFont="1" applyFill="1" applyBorder="1"/>
    <xf numFmtId="10" fontId="8" fillId="0" borderId="10" xfId="182" quotePrefix="1" applyNumberFormat="1" applyFont="1" applyFill="1" applyBorder="1" applyAlignment="1">
      <alignment horizontal="center" vertical="center"/>
    </xf>
    <xf numFmtId="10" fontId="44" fillId="0" borderId="0" xfId="0" applyNumberFormat="1" applyFont="1"/>
    <xf numFmtId="0" fontId="65" fillId="0" borderId="0" xfId="177" applyFont="1" applyAlignment="1" applyProtection="1"/>
    <xf numFmtId="10" fontId="44" fillId="0" borderId="0" xfId="0" applyNumberFormat="1" applyFont="1" applyAlignment="1">
      <alignment wrapText="1"/>
    </xf>
    <xf numFmtId="0" fontId="64" fillId="24" borderId="26" xfId="0" applyFont="1" applyFill="1" applyBorder="1"/>
    <xf numFmtId="0" fontId="59" fillId="0" borderId="27" xfId="0" applyFont="1" applyBorder="1" applyAlignment="1">
      <alignment horizontal="center"/>
    </xf>
    <xf numFmtId="0" fontId="0" fillId="0" borderId="0" xfId="0" applyAlignment="1">
      <alignment horizontal="right"/>
    </xf>
    <xf numFmtId="166" fontId="58" fillId="0" borderId="0" xfId="0" applyNumberFormat="1" applyFont="1"/>
    <xf numFmtId="166" fontId="0" fillId="0" borderId="0" xfId="0" applyNumberFormat="1"/>
    <xf numFmtId="0" fontId="0" fillId="0" borderId="0" xfId="0" quotePrefix="1" applyAlignment="1">
      <alignment horizontal="right"/>
    </xf>
    <xf numFmtId="166" fontId="0" fillId="0" borderId="19" xfId="0" applyNumberFormat="1" applyBorder="1"/>
    <xf numFmtId="0" fontId="59" fillId="0" borderId="0" xfId="0" applyFont="1" applyFill="1" applyBorder="1" applyAlignment="1">
      <alignment horizontal="center"/>
    </xf>
    <xf numFmtId="3" fontId="0" fillId="22" borderId="10" xfId="0" applyNumberFormat="1" applyFill="1" applyBorder="1"/>
    <xf numFmtId="0" fontId="44" fillId="0" borderId="0" xfId="0" quotePrefix="1" applyFont="1"/>
    <xf numFmtId="0" fontId="44" fillId="0" borderId="0" xfId="0" applyFont="1" applyAlignment="1">
      <alignment horizontal="center" wrapText="1"/>
    </xf>
    <xf numFmtId="0" fontId="51" fillId="0" borderId="10" xfId="0" quotePrefix="1" applyFont="1" applyFill="1" applyBorder="1" applyAlignment="1" applyProtection="1">
      <alignment horizontal="left" indent="2"/>
    </xf>
    <xf numFmtId="0" fontId="64" fillId="0" borderId="27" xfId="0" applyFont="1" applyBorder="1" applyAlignment="1">
      <alignment horizontal="center"/>
    </xf>
    <xf numFmtId="0" fontId="64" fillId="0" borderId="0" xfId="0" applyFont="1" applyFill="1" applyBorder="1" applyAlignment="1">
      <alignment horizontal="center"/>
    </xf>
    <xf numFmtId="0" fontId="44" fillId="0" borderId="0" xfId="0" applyFont="1" applyAlignment="1">
      <alignment horizontal="right"/>
    </xf>
    <xf numFmtId="0" fontId="44" fillId="0" borderId="0" xfId="0" quotePrefix="1" applyFont="1" applyAlignment="1">
      <alignment horizontal="right"/>
    </xf>
    <xf numFmtId="0" fontId="0" fillId="0" borderId="0" xfId="0" pivotButton="1"/>
    <xf numFmtId="165" fontId="8" fillId="0" borderId="0" xfId="28" applyNumberFormat="1" applyFont="1"/>
    <xf numFmtId="165" fontId="0" fillId="0" borderId="0" xfId="28" applyNumberFormat="1" applyFont="1"/>
    <xf numFmtId="0" fontId="0" fillId="0" borderId="0" xfId="0" quotePrefix="1"/>
    <xf numFmtId="165" fontId="0" fillId="0" borderId="19" xfId="28" applyNumberFormat="1" applyFont="1" applyBorder="1"/>
    <xf numFmtId="165" fontId="0" fillId="0" borderId="0" xfId="0" applyNumberFormat="1"/>
    <xf numFmtId="49" fontId="50" fillId="0" borderId="0" xfId="0" applyNumberFormat="1" applyFont="1"/>
    <xf numFmtId="0" fontId="66" fillId="0" borderId="0" xfId="0" applyFont="1" applyAlignment="1">
      <alignment wrapText="1"/>
    </xf>
    <xf numFmtId="0" fontId="50" fillId="0" borderId="0" xfId="0" applyFont="1" applyAlignment="1"/>
    <xf numFmtId="0" fontId="50" fillId="0" borderId="0" xfId="0" applyFont="1" applyProtection="1">
      <protection locked="0"/>
    </xf>
    <xf numFmtId="165" fontId="50" fillId="0" borderId="0" xfId="28" applyNumberFormat="1" applyFont="1" applyAlignment="1" applyProtection="1">
      <alignment horizontal="center"/>
    </xf>
    <xf numFmtId="0" fontId="50" fillId="0" borderId="12" xfId="0" applyFont="1" applyBorder="1" applyAlignment="1" applyProtection="1">
      <alignment horizontal="right"/>
      <protection locked="0"/>
    </xf>
    <xf numFmtId="0" fontId="50" fillId="0" borderId="0" xfId="0" applyFont="1" applyBorder="1" applyAlignment="1" applyProtection="1">
      <alignment horizontal="right"/>
      <protection locked="0"/>
    </xf>
    <xf numFmtId="0" fontId="50" fillId="0" borderId="21" xfId="0" applyFont="1" applyBorder="1" applyProtection="1">
      <protection locked="0"/>
    </xf>
    <xf numFmtId="0" fontId="50" fillId="0" borderId="25" xfId="0" applyFont="1" applyBorder="1" applyProtection="1">
      <protection locked="0"/>
    </xf>
    <xf numFmtId="38" fontId="50" fillId="0" borderId="25" xfId="28" applyNumberFormat="1" applyFont="1" applyBorder="1" applyProtection="1">
      <protection locked="0"/>
    </xf>
    <xf numFmtId="10" fontId="50" fillId="0" borderId="25" xfId="28" applyNumberFormat="1" applyFont="1" applyBorder="1" applyProtection="1">
      <protection locked="0"/>
    </xf>
    <xf numFmtId="0" fontId="50" fillId="0" borderId="24" xfId="0" applyFont="1" applyBorder="1" applyProtection="1">
      <protection locked="0"/>
    </xf>
    <xf numFmtId="0" fontId="50" fillId="0" borderId="0" xfId="0" applyFont="1" applyBorder="1" applyProtection="1">
      <protection locked="0"/>
    </xf>
    <xf numFmtId="38" fontId="50" fillId="0" borderId="0" xfId="28" applyNumberFormat="1" applyFont="1" applyBorder="1" applyProtection="1">
      <protection locked="0"/>
    </xf>
    <xf numFmtId="10" fontId="50" fillId="0" borderId="0" xfId="28" applyNumberFormat="1" applyFont="1" applyBorder="1" applyProtection="1">
      <protection locked="0"/>
    </xf>
    <xf numFmtId="38" fontId="50" fillId="0" borderId="0" xfId="0" applyNumberFormat="1" applyFont="1" applyBorder="1" applyProtection="1">
      <protection locked="0"/>
    </xf>
    <xf numFmtId="0" fontId="50" fillId="0" borderId="18" xfId="0" applyFont="1" applyBorder="1" applyProtection="1">
      <protection locked="0"/>
    </xf>
    <xf numFmtId="0" fontId="50" fillId="0" borderId="19" xfId="0" applyFont="1" applyBorder="1" applyProtection="1">
      <protection locked="0"/>
    </xf>
    <xf numFmtId="165" fontId="50" fillId="0" borderId="19" xfId="28" applyNumberFormat="1" applyFont="1" applyBorder="1" applyProtection="1">
      <protection locked="0"/>
    </xf>
    <xf numFmtId="0" fontId="50" fillId="0" borderId="23" xfId="0" applyFont="1" applyBorder="1" applyProtection="1">
      <protection locked="0"/>
    </xf>
    <xf numFmtId="0" fontId="50" fillId="0" borderId="0" xfId="0" applyFont="1" applyAlignment="1" applyProtection="1">
      <alignment wrapText="1"/>
      <protection locked="0"/>
    </xf>
    <xf numFmtId="0" fontId="66" fillId="0" borderId="0" xfId="0" applyFont="1" applyFill="1" applyAlignment="1" applyProtection="1">
      <protection locked="0"/>
    </xf>
    <xf numFmtId="0" fontId="66" fillId="0" borderId="19" xfId="0" applyFont="1" applyFill="1" applyBorder="1" applyAlignment="1" applyProtection="1">
      <protection locked="0"/>
    </xf>
    <xf numFmtId="165" fontId="50" fillId="0" borderId="0" xfId="28" applyNumberFormat="1" applyFont="1" applyBorder="1" applyAlignment="1" applyProtection="1">
      <alignment horizontal="center"/>
      <protection locked="0"/>
    </xf>
    <xf numFmtId="0" fontId="50" fillId="0" borderId="0" xfId="0" applyFont="1" applyBorder="1" applyAlignment="1" applyProtection="1">
      <alignment horizontal="center"/>
      <protection locked="0"/>
    </xf>
    <xf numFmtId="165" fontId="50" fillId="0" borderId="0" xfId="28" applyNumberFormat="1" applyFont="1" applyBorder="1" applyAlignment="1" applyProtection="1">
      <alignment horizontal="center" wrapText="1"/>
      <protection locked="0"/>
    </xf>
    <xf numFmtId="38" fontId="50" fillId="20" borderId="25" xfId="0" applyNumberFormat="1" applyFont="1" applyFill="1" applyBorder="1" applyProtection="1">
      <protection locked="0"/>
    </xf>
    <xf numFmtId="38" fontId="50" fillId="20" borderId="0" xfId="0" applyNumberFormat="1" applyFont="1" applyFill="1" applyBorder="1" applyProtection="1">
      <protection locked="0"/>
    </xf>
    <xf numFmtId="0" fontId="66" fillId="0" borderId="19" xfId="0" applyFont="1" applyBorder="1" applyProtection="1">
      <protection locked="0"/>
    </xf>
    <xf numFmtId="38" fontId="66" fillId="0" borderId="13" xfId="28" applyNumberFormat="1" applyFont="1" applyBorder="1" applyProtection="1">
      <protection locked="0"/>
    </xf>
    <xf numFmtId="38" fontId="66" fillId="0" borderId="19" xfId="28" applyNumberFormat="1" applyFont="1" applyBorder="1" applyProtection="1">
      <protection locked="0"/>
    </xf>
    <xf numFmtId="0" fontId="66" fillId="0" borderId="23" xfId="0" applyFont="1" applyBorder="1" applyProtection="1">
      <protection locked="0"/>
    </xf>
    <xf numFmtId="0" fontId="66" fillId="0" borderId="0" xfId="0" applyFont="1" applyBorder="1" applyProtection="1">
      <protection locked="0"/>
    </xf>
    <xf numFmtId="38" fontId="66" fillId="0" borderId="25" xfId="28" applyNumberFormat="1" applyFont="1" applyBorder="1" applyProtection="1">
      <protection locked="0"/>
    </xf>
    <xf numFmtId="38" fontId="66" fillId="0" borderId="0" xfId="28" applyNumberFormat="1" applyFont="1" applyBorder="1" applyProtection="1">
      <protection locked="0"/>
    </xf>
    <xf numFmtId="0" fontId="66" fillId="0" borderId="21" xfId="0" applyFont="1" applyBorder="1" applyProtection="1">
      <protection locked="0"/>
    </xf>
    <xf numFmtId="0" fontId="66" fillId="0" borderId="12" xfId="0" applyFont="1" applyBorder="1" applyProtection="1">
      <protection locked="0"/>
    </xf>
    <xf numFmtId="38" fontId="66" fillId="0" borderId="15" xfId="0" applyNumberFormat="1" applyFont="1" applyBorder="1" applyProtection="1">
      <protection locked="0"/>
    </xf>
    <xf numFmtId="0" fontId="50" fillId="0" borderId="21" xfId="0" applyFont="1" applyBorder="1" applyAlignment="1" applyProtection="1">
      <alignment wrapText="1"/>
      <protection locked="0"/>
    </xf>
    <xf numFmtId="0" fontId="52" fillId="0" borderId="10" xfId="0" applyFont="1" applyFill="1" applyBorder="1" applyAlignment="1" applyProtection="1">
      <alignment horizontal="center" vertical="center" wrapText="1"/>
    </xf>
    <xf numFmtId="0" fontId="64" fillId="24" borderId="26" xfId="0" quotePrefix="1" applyFont="1" applyFill="1" applyBorder="1"/>
    <xf numFmtId="0" fontId="67" fillId="0" borderId="28" xfId="0" applyFont="1" applyBorder="1" applyAlignment="1">
      <alignment horizontal="right" vertical="center" wrapText="1"/>
    </xf>
    <xf numFmtId="0" fontId="0" fillId="0" borderId="0" xfId="0" applyNumberFormat="1"/>
    <xf numFmtId="0" fontId="8" fillId="0" borderId="17" xfId="182" applyNumberFormat="1" applyFont="1" applyFill="1" applyBorder="1" applyAlignment="1">
      <alignment horizontal="center"/>
    </xf>
    <xf numFmtId="0" fontId="0" fillId="0" borderId="0" xfId="0" applyAlignment="1"/>
    <xf numFmtId="0" fontId="83" fillId="0" borderId="0" xfId="0" quotePrefix="1" applyFont="1" applyAlignment="1">
      <alignment horizontal="left" vertical="top"/>
    </xf>
    <xf numFmtId="169" fontId="84" fillId="0" borderId="0" xfId="0" applyNumberFormat="1" applyFont="1" applyAlignment="1">
      <alignment vertical="center"/>
    </xf>
    <xf numFmtId="0" fontId="0" fillId="0" borderId="0" xfId="0" applyFill="1"/>
    <xf numFmtId="0" fontId="1" fillId="0" borderId="38" xfId="0" applyFont="1" applyBorder="1"/>
    <xf numFmtId="0" fontId="1" fillId="0" borderId="39" xfId="0" applyFont="1" applyBorder="1"/>
    <xf numFmtId="0" fontId="1" fillId="0" borderId="40" xfId="0" applyFont="1" applyBorder="1"/>
    <xf numFmtId="0" fontId="1" fillId="0" borderId="41" xfId="0" applyFont="1" applyBorder="1"/>
    <xf numFmtId="165" fontId="1" fillId="0" borderId="39" xfId="28" applyNumberFormat="1" applyFont="1" applyBorder="1"/>
    <xf numFmtId="165" fontId="1" fillId="0" borderId="42" xfId="28" applyNumberFormat="1" applyFont="1" applyBorder="1"/>
    <xf numFmtId="165" fontId="1" fillId="0" borderId="41" xfId="28" applyNumberFormat="1" applyFont="1" applyBorder="1"/>
    <xf numFmtId="165" fontId="1" fillId="0" borderId="43" xfId="28" applyNumberFormat="1" applyFont="1" applyBorder="1"/>
    <xf numFmtId="0" fontId="60" fillId="0" borderId="44" xfId="0" applyFont="1" applyBorder="1" applyAlignment="1">
      <alignment vertical="center"/>
    </xf>
    <xf numFmtId="0" fontId="60" fillId="0" borderId="45" xfId="0" applyFont="1" applyBorder="1" applyAlignment="1">
      <alignment vertical="center" wrapText="1"/>
    </xf>
    <xf numFmtId="165" fontId="60" fillId="0" borderId="45" xfId="28" applyNumberFormat="1" applyFont="1" applyBorder="1" applyAlignment="1">
      <alignment horizontal="center" vertical="center"/>
    </xf>
    <xf numFmtId="165" fontId="60" fillId="0" borderId="46" xfId="28" applyNumberFormat="1" applyFont="1" applyBorder="1" applyAlignment="1">
      <alignment horizontal="center" vertical="center"/>
    </xf>
    <xf numFmtId="0" fontId="44" fillId="0" borderId="47" xfId="0" applyFont="1" applyBorder="1" applyAlignment="1">
      <alignment vertical="center"/>
    </xf>
    <xf numFmtId="0" fontId="44" fillId="0" borderId="39" xfId="0" applyFont="1" applyBorder="1" applyAlignment="1">
      <alignment vertical="center" wrapText="1"/>
    </xf>
    <xf numFmtId="165" fontId="44" fillId="0" borderId="39" xfId="28" applyNumberFormat="1" applyFont="1" applyBorder="1" applyAlignment="1">
      <alignment vertical="center"/>
    </xf>
    <xf numFmtId="165" fontId="44" fillId="0" borderId="48" xfId="28" applyNumberFormat="1" applyFont="1" applyBorder="1" applyAlignment="1">
      <alignment vertical="center"/>
    </xf>
    <xf numFmtId="0" fontId="44" fillId="0" borderId="47" xfId="0" quotePrefix="1" applyFont="1" applyBorder="1" applyAlignment="1">
      <alignment vertical="center"/>
    </xf>
    <xf numFmtId="0" fontId="44" fillId="0" borderId="49" xfId="0" applyFont="1" applyBorder="1" applyAlignment="1">
      <alignment vertical="center"/>
    </xf>
    <xf numFmtId="0" fontId="44" fillId="0" borderId="50" xfId="0" applyFont="1" applyBorder="1" applyAlignment="1">
      <alignment vertical="center" wrapText="1"/>
    </xf>
    <xf numFmtId="165" fontId="44" fillId="0" borderId="50" xfId="28" applyNumberFormat="1" applyFont="1" applyBorder="1" applyAlignment="1">
      <alignment vertical="center"/>
    </xf>
    <xf numFmtId="165" fontId="44" fillId="0" borderId="51" xfId="28" applyNumberFormat="1" applyFont="1" applyBorder="1" applyAlignment="1">
      <alignment vertical="center"/>
    </xf>
    <xf numFmtId="165" fontId="0" fillId="0" borderId="27" xfId="28" applyNumberFormat="1" applyFont="1" applyBorder="1"/>
    <xf numFmtId="0" fontId="8" fillId="0" borderId="0" xfId="0" applyFont="1" applyAlignment="1">
      <alignment horizontal="right"/>
    </xf>
    <xf numFmtId="165" fontId="8" fillId="56" borderId="0" xfId="28" applyNumberFormat="1" applyFont="1" applyFill="1"/>
    <xf numFmtId="0" fontId="86" fillId="57" borderId="10" xfId="226" applyFont="1" applyFill="1" applyBorder="1" applyAlignment="1">
      <alignment horizontal="center" vertical="center" wrapText="1"/>
    </xf>
    <xf numFmtId="0" fontId="0" fillId="0" borderId="52" xfId="0" applyBorder="1"/>
    <xf numFmtId="0" fontId="0" fillId="0" borderId="53" xfId="0" applyBorder="1"/>
    <xf numFmtId="166" fontId="0" fillId="0" borderId="54" xfId="0" applyNumberFormat="1" applyBorder="1"/>
    <xf numFmtId="0" fontId="0" fillId="0" borderId="55" xfId="0" applyBorder="1"/>
    <xf numFmtId="0" fontId="0" fillId="0" borderId="39" xfId="0" applyBorder="1"/>
    <xf numFmtId="166" fontId="0" fillId="0" borderId="56" xfId="0" applyNumberFormat="1" applyBorder="1"/>
    <xf numFmtId="0" fontId="0" fillId="0" borderId="57" xfId="0" applyBorder="1"/>
    <xf numFmtId="0" fontId="0" fillId="0" borderId="58" xfId="0" applyBorder="1"/>
    <xf numFmtId="166" fontId="0" fillId="0" borderId="59" xfId="0" applyNumberFormat="1" applyBorder="1"/>
    <xf numFmtId="0" fontId="46" fillId="0" borderId="0" xfId="177" applyFont="1" applyAlignment="1" applyProtection="1">
      <alignment horizontal="left" vertical="top" wrapText="1"/>
    </xf>
    <xf numFmtId="0" fontId="57" fillId="0" borderId="0" xfId="0" applyFont="1" applyAlignment="1">
      <alignment horizontal="left" vertical="top" wrapText="1"/>
    </xf>
    <xf numFmtId="0" fontId="41" fillId="0" borderId="0" xfId="0" applyFont="1" applyAlignment="1" applyProtection="1">
      <alignment horizontal="center" vertical="center"/>
    </xf>
    <xf numFmtId="0" fontId="51" fillId="0" borderId="0" xfId="0" applyFont="1" applyBorder="1" applyAlignment="1" applyProtection="1">
      <alignment horizontal="left" vertical="center" wrapText="1"/>
    </xf>
    <xf numFmtId="0" fontId="41" fillId="0" borderId="12" xfId="0" applyFont="1" applyBorder="1" applyAlignment="1" applyProtection="1">
      <alignment horizontal="center" vertical="center"/>
    </xf>
    <xf numFmtId="0" fontId="41" fillId="0" borderId="0" xfId="0" applyFont="1" applyBorder="1" applyAlignment="1" applyProtection="1">
      <alignment horizontal="center" vertical="center"/>
    </xf>
    <xf numFmtId="0" fontId="51" fillId="0" borderId="10" xfId="0" applyFont="1" applyFill="1" applyBorder="1" applyAlignment="1" applyProtection="1">
      <alignment horizontal="left"/>
    </xf>
    <xf numFmtId="0" fontId="51" fillId="0" borderId="10" xfId="0" applyFont="1" applyFill="1" applyBorder="1" applyAlignment="1" applyProtection="1">
      <alignment horizontal="left" vertical="top" wrapText="1"/>
    </xf>
    <xf numFmtId="0" fontId="51" fillId="0" borderId="10" xfId="0" applyFont="1" applyFill="1" applyBorder="1" applyAlignment="1" applyProtection="1">
      <alignment vertical="top" wrapText="1"/>
    </xf>
    <xf numFmtId="0" fontId="51" fillId="0" borderId="10" xfId="0" applyFont="1" applyFill="1" applyBorder="1" applyAlignment="1" applyProtection="1">
      <alignment horizontal="left" wrapText="1"/>
    </xf>
    <xf numFmtId="0" fontId="51" fillId="0" borderId="10" xfId="0" applyFont="1" applyFill="1" applyBorder="1" applyAlignment="1" applyProtection="1">
      <alignment vertical="top"/>
    </xf>
    <xf numFmtId="0" fontId="51" fillId="0" borderId="11" xfId="0" applyFont="1" applyFill="1" applyBorder="1" applyAlignment="1" applyProtection="1">
      <alignment horizontal="left" vertical="top" wrapText="1"/>
    </xf>
    <xf numFmtId="0" fontId="51" fillId="0" borderId="13" xfId="0" applyFont="1" applyFill="1" applyBorder="1" applyAlignment="1" applyProtection="1">
      <alignment horizontal="left" vertical="top" wrapText="1"/>
    </xf>
    <xf numFmtId="0" fontId="52" fillId="0" borderId="11" xfId="0" applyFont="1" applyFill="1" applyBorder="1" applyAlignment="1" applyProtection="1">
      <alignment horizontal="center" vertical="center"/>
    </xf>
    <xf numFmtId="0" fontId="52" fillId="0" borderId="13" xfId="0" applyFont="1" applyFill="1" applyBorder="1" applyAlignment="1" applyProtection="1">
      <alignment horizontal="center" vertical="center"/>
    </xf>
    <xf numFmtId="0" fontId="52" fillId="0" borderId="14" xfId="0" applyFont="1" applyFill="1" applyBorder="1" applyAlignment="1" applyProtection="1">
      <alignment horizontal="center" vertical="center"/>
    </xf>
    <xf numFmtId="0" fontId="50" fillId="0" borderId="22" xfId="0" applyFont="1" applyBorder="1" applyAlignment="1" applyProtection="1">
      <alignment horizontal="center" vertical="center"/>
      <protection locked="0"/>
    </xf>
    <xf numFmtId="0" fontId="50" fillId="0" borderId="12" xfId="0" applyFont="1" applyBorder="1" applyAlignment="1" applyProtection="1">
      <alignment horizontal="center" vertical="center"/>
      <protection locked="0"/>
    </xf>
    <xf numFmtId="0" fontId="50" fillId="0" borderId="18" xfId="0" applyFont="1" applyBorder="1" applyAlignment="1" applyProtection="1">
      <alignment horizontal="center" vertical="center"/>
      <protection locked="0"/>
    </xf>
    <xf numFmtId="0" fontId="50" fillId="0" borderId="0" xfId="0" applyFont="1" applyAlignment="1">
      <alignment horizontal="center"/>
    </xf>
    <xf numFmtId="0" fontId="66" fillId="0" borderId="0" xfId="0" applyFont="1" applyAlignment="1">
      <alignment horizontal="left" wrapText="1"/>
    </xf>
    <xf numFmtId="0" fontId="66" fillId="0" borderId="22" xfId="0" applyFont="1" applyBorder="1" applyAlignment="1" applyProtection="1">
      <alignment horizontal="center"/>
      <protection locked="0"/>
    </xf>
    <xf numFmtId="0" fontId="66" fillId="0" borderId="25" xfId="0" applyFont="1" applyBorder="1" applyAlignment="1" applyProtection="1">
      <alignment horizontal="center"/>
      <protection locked="0"/>
    </xf>
    <xf numFmtId="0" fontId="66" fillId="0" borderId="24" xfId="0" applyFont="1" applyBorder="1" applyAlignment="1" applyProtection="1">
      <alignment horizontal="center"/>
      <protection locked="0"/>
    </xf>
    <xf numFmtId="0" fontId="66" fillId="20" borderId="19" xfId="0" applyFont="1" applyFill="1" applyBorder="1" applyAlignment="1" applyProtection="1">
      <alignment horizontal="center"/>
      <protection locked="0"/>
    </xf>
    <xf numFmtId="3" fontId="59" fillId="0" borderId="12" xfId="0" applyNumberFormat="1" applyFont="1" applyFill="1" applyBorder="1" applyAlignment="1">
      <alignment horizontal="left" wrapText="1"/>
    </xf>
    <xf numFmtId="3" fontId="59" fillId="0" borderId="0" xfId="0" applyNumberFormat="1" applyFont="1" applyFill="1" applyBorder="1" applyAlignment="1">
      <alignment horizontal="left" wrapText="1"/>
    </xf>
    <xf numFmtId="0" fontId="62" fillId="0" borderId="0" xfId="0" applyFont="1" applyAlignment="1">
      <alignment horizontal="center"/>
    </xf>
    <xf numFmtId="0" fontId="8" fillId="0" borderId="0" xfId="0" applyFont="1" applyAlignment="1">
      <alignment horizontal="center"/>
    </xf>
    <xf numFmtId="0" fontId="8" fillId="0" borderId="27" xfId="0" applyFont="1" applyBorder="1" applyAlignment="1">
      <alignment horizontal="center"/>
    </xf>
    <xf numFmtId="3" fontId="0" fillId="0" borderId="0" xfId="0" applyNumberFormat="1"/>
  </cellXfs>
  <cellStyles count="227">
    <cellStyle name="20% - Accent1" xfId="1" builtinId="30" customBuiltin="1"/>
    <cellStyle name="20% - Accent1 2" xfId="203" xr:uid="{99812590-1D25-4ED4-AD0D-FD170D47DDA8}"/>
    <cellStyle name="20% - Accent2" xfId="2" builtinId="34" customBuiltin="1"/>
    <cellStyle name="20% - Accent2 2" xfId="207" xr:uid="{E0CE9302-EA64-401E-8270-3C0DA78CEAB0}"/>
    <cellStyle name="20% - Accent3" xfId="3" builtinId="38" customBuiltin="1"/>
    <cellStyle name="20% - Accent3 2" xfId="211" xr:uid="{6DA63D35-63DD-476C-87E2-3855A27DF0A0}"/>
    <cellStyle name="20% - Accent4" xfId="4" builtinId="42" customBuiltin="1"/>
    <cellStyle name="20% - Accent4 2" xfId="215" xr:uid="{A7575300-64AE-486A-8563-F00FC50C3BAE}"/>
    <cellStyle name="20% - Accent5" xfId="5" builtinId="46" customBuiltin="1"/>
    <cellStyle name="20% - Accent5 2" xfId="219" xr:uid="{E59FC689-3763-4BE8-A45A-EC4346007092}"/>
    <cellStyle name="20% - Accent6" xfId="6" builtinId="50" customBuiltin="1"/>
    <cellStyle name="20% - Accent6 2" xfId="223" xr:uid="{2A1F8F83-E395-4C60-A7AB-09F8BF27D326}"/>
    <cellStyle name="40% - Accent1" xfId="7" builtinId="31" customBuiltin="1"/>
    <cellStyle name="40% - Accent1 2" xfId="204" xr:uid="{1178D19D-AF8F-4C93-9198-E64C1C7EE385}"/>
    <cellStyle name="40% - Accent2" xfId="8" builtinId="35" customBuiltin="1"/>
    <cellStyle name="40% - Accent2 2" xfId="208" xr:uid="{16D91E19-5436-40BB-AC07-574A50E4DB27}"/>
    <cellStyle name="40% - Accent3" xfId="9" builtinId="39" customBuiltin="1"/>
    <cellStyle name="40% - Accent3 2" xfId="212" xr:uid="{07C7DDB9-4BD4-4467-8ED5-003E80FEB42E}"/>
    <cellStyle name="40% - Accent4" xfId="10" builtinId="43" customBuiltin="1"/>
    <cellStyle name="40% - Accent4 2" xfId="216" xr:uid="{F85A66B7-E598-47BA-9AFA-FB070D7B3E09}"/>
    <cellStyle name="40% - Accent5" xfId="11" builtinId="47" customBuiltin="1"/>
    <cellStyle name="40% - Accent5 2" xfId="220" xr:uid="{11FA88B0-A248-4116-9217-EBD8C42E45D0}"/>
    <cellStyle name="40% - Accent6" xfId="12" builtinId="51" customBuiltin="1"/>
    <cellStyle name="40% - Accent6 2" xfId="224" xr:uid="{ABAFFF5D-690D-4AC8-B4AD-E75FB18D9F45}"/>
    <cellStyle name="60% - Accent1" xfId="13" builtinId="32" customBuiltin="1"/>
    <cellStyle name="60% - Accent1 2" xfId="205" xr:uid="{DC0689E4-8745-474E-BA66-492CE606AE00}"/>
    <cellStyle name="60% - Accent2" xfId="14" builtinId="36" customBuiltin="1"/>
    <cellStyle name="60% - Accent2 2" xfId="209" xr:uid="{9E59E901-18E7-4413-9EB5-C422EF28405F}"/>
    <cellStyle name="60% - Accent3" xfId="15" builtinId="40" customBuiltin="1"/>
    <cellStyle name="60% - Accent3 2" xfId="213" xr:uid="{8F3CAC72-11BF-40A0-B2CD-B2CCBE58D4F9}"/>
    <cellStyle name="60% - Accent4" xfId="16" builtinId="44" customBuiltin="1"/>
    <cellStyle name="60% - Accent4 2" xfId="217" xr:uid="{B6563BE8-323C-41D2-AB4A-7A85FFFFCF22}"/>
    <cellStyle name="60% - Accent5" xfId="17" builtinId="48" customBuiltin="1"/>
    <cellStyle name="60% - Accent5 2" xfId="221" xr:uid="{04D96B49-2451-4A95-8518-67747DA956C9}"/>
    <cellStyle name="60% - Accent6" xfId="18" builtinId="52" customBuiltin="1"/>
    <cellStyle name="60% - Accent6 2" xfId="225" xr:uid="{7A471940-CA45-4419-BAEA-94D5CEAC5043}"/>
    <cellStyle name="Accent1" xfId="19" builtinId="29" customBuiltin="1"/>
    <cellStyle name="Accent1 2" xfId="202" xr:uid="{AE55C60C-0001-492C-965E-FB4AC9A7F074}"/>
    <cellStyle name="Accent2" xfId="20" builtinId="33" customBuiltin="1"/>
    <cellStyle name="Accent2 2" xfId="206" xr:uid="{D641FE1C-D178-4514-8E0C-1F766F52BF0B}"/>
    <cellStyle name="Accent3" xfId="21" builtinId="37" customBuiltin="1"/>
    <cellStyle name="Accent3 2" xfId="210" xr:uid="{2232F05E-4DB5-411F-A2B2-C9F6BB135BEE}"/>
    <cellStyle name="Accent4" xfId="22" builtinId="41" customBuiltin="1"/>
    <cellStyle name="Accent4 2" xfId="214" xr:uid="{6EF56F6B-6822-4C73-9D66-ACD700879280}"/>
    <cellStyle name="Accent5" xfId="23" builtinId="45" customBuiltin="1"/>
    <cellStyle name="Accent5 2" xfId="218" xr:uid="{F944CCBA-FDE8-4547-BCB4-ABAC9E3F443E}"/>
    <cellStyle name="Accent6" xfId="24" builtinId="49" customBuiltin="1"/>
    <cellStyle name="Accent6 2" xfId="222" xr:uid="{0EA5080D-2C4C-4471-BAE4-CC21273E850A}"/>
    <cellStyle name="Bad" xfId="25" builtinId="27" customBuiltin="1"/>
    <cellStyle name="Bad 2" xfId="191" xr:uid="{B3C1991E-2533-4693-817E-7FDB522CD139}"/>
    <cellStyle name="Calculation" xfId="26" builtinId="22" customBuiltin="1"/>
    <cellStyle name="Calculation 2" xfId="195" xr:uid="{29A8A92C-6E30-48B7-93E1-A65C6ED6AC9D}"/>
    <cellStyle name="Check Cell" xfId="27" builtinId="23" customBuiltin="1"/>
    <cellStyle name="Check Cell 2" xfId="197" xr:uid="{0E4700C4-81E9-49D4-99D4-BC752D050C5B}"/>
    <cellStyle name="Comma" xfId="28" builtinId="3"/>
    <cellStyle name="Comma 2" xfId="29" xr:uid="{00000000-0005-0000-0000-00001C000000}"/>
    <cellStyle name="Comma 2 2" xfId="30" xr:uid="{00000000-0005-0000-0000-00001D000000}"/>
    <cellStyle name="Comma 2 2 2" xfId="31" xr:uid="{00000000-0005-0000-0000-00001E000000}"/>
    <cellStyle name="Comma 2 3" xfId="32" xr:uid="{00000000-0005-0000-0000-00001F000000}"/>
    <cellStyle name="Comma 3" xfId="33" xr:uid="{00000000-0005-0000-0000-000020000000}"/>
    <cellStyle name="Comma 3 2" xfId="34" xr:uid="{00000000-0005-0000-0000-000021000000}"/>
    <cellStyle name="Comma 4" xfId="35" xr:uid="{00000000-0005-0000-0000-000022000000}"/>
    <cellStyle name="Comma 4 2" xfId="36" xr:uid="{00000000-0005-0000-0000-000023000000}"/>
    <cellStyle name="Comma 4 3" xfId="37" xr:uid="{00000000-0005-0000-0000-000024000000}"/>
    <cellStyle name="Comma 5" xfId="38" xr:uid="{00000000-0005-0000-0000-000025000000}"/>
    <cellStyle name="Comma 5 2" xfId="39" xr:uid="{00000000-0005-0000-0000-000026000000}"/>
    <cellStyle name="Comma 6" xfId="40" xr:uid="{00000000-0005-0000-0000-000027000000}"/>
    <cellStyle name="Comma 6 2" xfId="41" xr:uid="{00000000-0005-0000-0000-000028000000}"/>
    <cellStyle name="Comma 6 2 2" xfId="145" xr:uid="{00000000-0005-0000-0000-000029000000}"/>
    <cellStyle name="Comma 6 3" xfId="144" xr:uid="{00000000-0005-0000-0000-00002A000000}"/>
    <cellStyle name="Comma 7" xfId="42" xr:uid="{00000000-0005-0000-0000-00002B000000}"/>
    <cellStyle name="Comma 7 2" xfId="147" xr:uid="{00000000-0005-0000-0000-00002C000000}"/>
    <cellStyle name="Comma 7 3" xfId="146" xr:uid="{00000000-0005-0000-0000-00002D000000}"/>
    <cellStyle name="Comma 8" xfId="143" xr:uid="{00000000-0005-0000-0000-00002E000000}"/>
    <cellStyle name="Comma 9" xfId="178" xr:uid="{00000000-0005-0000-0000-00002F000000}"/>
    <cellStyle name="Currency" xfId="43" builtinId="4"/>
    <cellStyle name="Currency 2" xfId="44" xr:uid="{00000000-0005-0000-0000-000031000000}"/>
    <cellStyle name="Currency 2 2" xfId="45" xr:uid="{00000000-0005-0000-0000-000032000000}"/>
    <cellStyle name="Currency 2 3" xfId="46" xr:uid="{00000000-0005-0000-0000-000033000000}"/>
    <cellStyle name="Currency 3" xfId="47" xr:uid="{00000000-0005-0000-0000-000034000000}"/>
    <cellStyle name="Currency 3 2" xfId="48" xr:uid="{00000000-0005-0000-0000-000035000000}"/>
    <cellStyle name="Currency 3 3" xfId="49" xr:uid="{00000000-0005-0000-0000-000036000000}"/>
    <cellStyle name="Currency 4" xfId="50" xr:uid="{00000000-0005-0000-0000-000037000000}"/>
    <cellStyle name="Currency 4 2" xfId="51" xr:uid="{00000000-0005-0000-0000-000038000000}"/>
    <cellStyle name="Currency 5" xfId="52" xr:uid="{00000000-0005-0000-0000-000039000000}"/>
    <cellStyle name="Currency 5 2" xfId="53" xr:uid="{00000000-0005-0000-0000-00003A000000}"/>
    <cellStyle name="Currency 5 3" xfId="54" xr:uid="{00000000-0005-0000-0000-00003B000000}"/>
    <cellStyle name="Currency 6" xfId="55" xr:uid="{00000000-0005-0000-0000-00003C000000}"/>
    <cellStyle name="Currency 6 2" xfId="150" xr:uid="{00000000-0005-0000-0000-00003D000000}"/>
    <cellStyle name="Currency 6 3" xfId="149" xr:uid="{00000000-0005-0000-0000-00003E000000}"/>
    <cellStyle name="Currency 7" xfId="56" xr:uid="{00000000-0005-0000-0000-00003F000000}"/>
    <cellStyle name="Currency 7 2" xfId="152" xr:uid="{00000000-0005-0000-0000-000040000000}"/>
    <cellStyle name="Currency 7 3" xfId="151" xr:uid="{00000000-0005-0000-0000-000041000000}"/>
    <cellStyle name="Currency 8" xfId="148" xr:uid="{00000000-0005-0000-0000-000042000000}"/>
    <cellStyle name="Currency 9" xfId="179" xr:uid="{00000000-0005-0000-0000-000043000000}"/>
    <cellStyle name="Explanatory Text" xfId="57" builtinId="53" customBuiltin="1"/>
    <cellStyle name="Explanatory Text 2" xfId="200" xr:uid="{81F87CEF-B762-49F2-A6E9-C7CB71B5A49E}"/>
    <cellStyle name="Good" xfId="58" builtinId="26" customBuiltin="1"/>
    <cellStyle name="Good 2" xfId="190" xr:uid="{A0E14B24-4843-4042-8272-257FC80B9D02}"/>
    <cellStyle name="Heading 1" xfId="59" builtinId="16" customBuiltin="1"/>
    <cellStyle name="Heading 1 2" xfId="186" xr:uid="{ED999443-FD03-43A8-9735-1038BB692DD2}"/>
    <cellStyle name="Heading 2" xfId="60" builtinId="17" customBuiltin="1"/>
    <cellStyle name="Heading 2 2" xfId="187" xr:uid="{3682D472-6426-467A-929F-1A56036A4FC4}"/>
    <cellStyle name="Heading 3" xfId="61" builtinId="18" customBuiltin="1"/>
    <cellStyle name="Heading 3 2" xfId="188" xr:uid="{BA3086B0-D08E-4E8A-941C-EE6242838542}"/>
    <cellStyle name="Heading 4" xfId="62" builtinId="19" customBuiltin="1"/>
    <cellStyle name="Heading 4 2" xfId="189" xr:uid="{FE4F9DA2-B67B-4561-9E39-A7246E085974}"/>
    <cellStyle name="Hyperlink" xfId="177" builtinId="8"/>
    <cellStyle name="Input" xfId="63" builtinId="20" customBuiltin="1"/>
    <cellStyle name="Input 2" xfId="193" xr:uid="{D6F723B3-D99D-4CAA-940D-A693832F9EDD}"/>
    <cellStyle name="Linked Cell" xfId="64" builtinId="24" customBuiltin="1"/>
    <cellStyle name="Linked Cell 2" xfId="196" xr:uid="{DEDDFEF2-12CC-4DB5-B2D7-3DB16277142E}"/>
    <cellStyle name="Neutral" xfId="65" builtinId="28" customBuiltin="1"/>
    <cellStyle name="Neutral 2" xfId="192" xr:uid="{CAF54BE3-C274-448E-9D97-F478CFB8AC7A}"/>
    <cellStyle name="Normal" xfId="0" builtinId="0"/>
    <cellStyle name="Normal 10" xfId="66" xr:uid="{00000000-0005-0000-0000-00004F000000}"/>
    <cellStyle name="Normal 10 2" xfId="67" xr:uid="{00000000-0005-0000-0000-000050000000}"/>
    <cellStyle name="Normal 11" xfId="68" xr:uid="{00000000-0005-0000-0000-000051000000}"/>
    <cellStyle name="Normal 11 2" xfId="69" xr:uid="{00000000-0005-0000-0000-000052000000}"/>
    <cellStyle name="Normal 12" xfId="70" xr:uid="{00000000-0005-0000-0000-000053000000}"/>
    <cellStyle name="Normal 13" xfId="71" xr:uid="{00000000-0005-0000-0000-000054000000}"/>
    <cellStyle name="Normal 14" xfId="171" xr:uid="{00000000-0005-0000-0000-000055000000}"/>
    <cellStyle name="Normal 15" xfId="182" xr:uid="{00000000-0005-0000-0000-000056000000}"/>
    <cellStyle name="Normal 2" xfId="72" xr:uid="{00000000-0005-0000-0000-000057000000}"/>
    <cellStyle name="Normal 2 10" xfId="153" xr:uid="{00000000-0005-0000-0000-000058000000}"/>
    <cellStyle name="Normal 2 10 2" xfId="154" xr:uid="{00000000-0005-0000-0000-000059000000}"/>
    <cellStyle name="Normal 2 10 3" xfId="172" xr:uid="{00000000-0005-0000-0000-00005A000000}"/>
    <cellStyle name="Normal 2 10_Sec 611 Poverty" xfId="155" xr:uid="{00000000-0005-0000-0000-00005B000000}"/>
    <cellStyle name="Normal 2 2" xfId="73" xr:uid="{00000000-0005-0000-0000-00005C000000}"/>
    <cellStyle name="Normal 2 2 2" xfId="74" xr:uid="{00000000-0005-0000-0000-00005D000000}"/>
    <cellStyle name="Normal 2 2 2 2 2" xfId="184" xr:uid="{5228F943-A795-4FEF-AA4B-1AB25CDB1D5D}"/>
    <cellStyle name="Normal 2 2 3" xfId="75" xr:uid="{00000000-0005-0000-0000-00005E000000}"/>
    <cellStyle name="Normal 2 2 4" xfId="76" xr:uid="{00000000-0005-0000-0000-00005F000000}"/>
    <cellStyle name="Normal 2 3" xfId="77" xr:uid="{00000000-0005-0000-0000-000060000000}"/>
    <cellStyle name="Normal 2 3 2" xfId="78" xr:uid="{00000000-0005-0000-0000-000061000000}"/>
    <cellStyle name="Normal 2 3 3" xfId="79" xr:uid="{00000000-0005-0000-0000-000062000000}"/>
    <cellStyle name="Normal 2 3 4" xfId="80" xr:uid="{00000000-0005-0000-0000-000063000000}"/>
    <cellStyle name="Normal 2 4" xfId="81" xr:uid="{00000000-0005-0000-0000-000064000000}"/>
    <cellStyle name="Normal 2 4 2" xfId="82" xr:uid="{00000000-0005-0000-0000-000065000000}"/>
    <cellStyle name="Normal 2 4 3" xfId="83" xr:uid="{00000000-0005-0000-0000-000066000000}"/>
    <cellStyle name="Normal 2 5" xfId="84" xr:uid="{00000000-0005-0000-0000-000067000000}"/>
    <cellStyle name="Normal 2 5 2" xfId="85" xr:uid="{00000000-0005-0000-0000-000068000000}"/>
    <cellStyle name="Normal 2 5 3" xfId="86" xr:uid="{00000000-0005-0000-0000-000069000000}"/>
    <cellStyle name="Normal 2 6" xfId="87" xr:uid="{00000000-0005-0000-0000-00006A000000}"/>
    <cellStyle name="Normal 2 7" xfId="88" xr:uid="{00000000-0005-0000-0000-00006B000000}"/>
    <cellStyle name="Normal 2 7 2" xfId="89" xr:uid="{00000000-0005-0000-0000-00006C000000}"/>
    <cellStyle name="Normal 2 7_Sec 611 Poverty" xfId="156" xr:uid="{00000000-0005-0000-0000-00006D000000}"/>
    <cellStyle name="Normal 2 8" xfId="90" xr:uid="{00000000-0005-0000-0000-00006E000000}"/>
    <cellStyle name="Normal 2 8 2" xfId="91" xr:uid="{00000000-0005-0000-0000-00006F000000}"/>
    <cellStyle name="Normal 2 8_Sec 611 Poverty" xfId="157" xr:uid="{00000000-0005-0000-0000-000070000000}"/>
    <cellStyle name="Normal 2 9" xfId="92" xr:uid="{00000000-0005-0000-0000-000071000000}"/>
    <cellStyle name="Normal 2 9 2" xfId="159" xr:uid="{00000000-0005-0000-0000-000072000000}"/>
    <cellStyle name="Normal 2 9 3" xfId="158" xr:uid="{00000000-0005-0000-0000-000073000000}"/>
    <cellStyle name="Normal 2 9_Sec 611 Poverty" xfId="160" xr:uid="{00000000-0005-0000-0000-000074000000}"/>
    <cellStyle name="Normal 3" xfId="93" xr:uid="{00000000-0005-0000-0000-000075000000}"/>
    <cellStyle name="Normal 3 2" xfId="94" xr:uid="{00000000-0005-0000-0000-000076000000}"/>
    <cellStyle name="Normal 3 2 2" xfId="95" xr:uid="{00000000-0005-0000-0000-000077000000}"/>
    <cellStyle name="Normal 3 3" xfId="96" xr:uid="{00000000-0005-0000-0000-000078000000}"/>
    <cellStyle name="Normal 3 3 2" xfId="97" xr:uid="{00000000-0005-0000-0000-000079000000}"/>
    <cellStyle name="Normal 3 4" xfId="98" xr:uid="{00000000-0005-0000-0000-00007A000000}"/>
    <cellStyle name="Normal 3 5" xfId="99" xr:uid="{00000000-0005-0000-0000-00007B000000}"/>
    <cellStyle name="Normal 4" xfId="100" xr:uid="{00000000-0005-0000-0000-00007C000000}"/>
    <cellStyle name="Normal 4 2" xfId="101" xr:uid="{00000000-0005-0000-0000-00007D000000}"/>
    <cellStyle name="Normal 4 3" xfId="102" xr:uid="{00000000-0005-0000-0000-00007E000000}"/>
    <cellStyle name="Normal 4 4" xfId="103" xr:uid="{00000000-0005-0000-0000-00007F000000}"/>
    <cellStyle name="Normal 4 5" xfId="161" xr:uid="{00000000-0005-0000-0000-000080000000}"/>
    <cellStyle name="Normal 4 6" xfId="170" xr:uid="{00000000-0005-0000-0000-000081000000}"/>
    <cellStyle name="Normal 4 7" xfId="173" xr:uid="{00000000-0005-0000-0000-000082000000}"/>
    <cellStyle name="Normal 4 8" xfId="180" xr:uid="{00000000-0005-0000-0000-000083000000}"/>
    <cellStyle name="Normal 5" xfId="104" xr:uid="{00000000-0005-0000-0000-000084000000}"/>
    <cellStyle name="Normal 5 2" xfId="105" xr:uid="{00000000-0005-0000-0000-000085000000}"/>
    <cellStyle name="Normal 5 2 2" xfId="163" xr:uid="{00000000-0005-0000-0000-000086000000}"/>
    <cellStyle name="Normal 5 3" xfId="106" xr:uid="{00000000-0005-0000-0000-000087000000}"/>
    <cellStyle name="Normal 5 3 2" xfId="174" xr:uid="{00000000-0005-0000-0000-000088000000}"/>
    <cellStyle name="Normal 5 4" xfId="162" xr:uid="{00000000-0005-0000-0000-000089000000}"/>
    <cellStyle name="Normal 5_Sec 611 Poverty" xfId="164" xr:uid="{00000000-0005-0000-0000-00008A000000}"/>
    <cellStyle name="Normal 6" xfId="107" xr:uid="{00000000-0005-0000-0000-00008B000000}"/>
    <cellStyle name="Normal 6 2" xfId="108" xr:uid="{00000000-0005-0000-0000-00008C000000}"/>
    <cellStyle name="Normal 6 3" xfId="109" xr:uid="{00000000-0005-0000-0000-00008D000000}"/>
    <cellStyle name="Normal 6 4" xfId="175" xr:uid="{00000000-0005-0000-0000-00008E000000}"/>
    <cellStyle name="Normal 7" xfId="110" xr:uid="{00000000-0005-0000-0000-00008F000000}"/>
    <cellStyle name="Normal 7 2" xfId="165" xr:uid="{00000000-0005-0000-0000-000090000000}"/>
    <cellStyle name="Normal 7 3" xfId="176" xr:uid="{00000000-0005-0000-0000-000091000000}"/>
    <cellStyle name="Normal 8" xfId="111" xr:uid="{00000000-0005-0000-0000-000092000000}"/>
    <cellStyle name="Normal 8 2" xfId="166" xr:uid="{00000000-0005-0000-0000-000093000000}"/>
    <cellStyle name="Normal 9" xfId="112" xr:uid="{00000000-0005-0000-0000-000094000000}"/>
    <cellStyle name="Normal_Sheet1" xfId="226" xr:uid="{A21D1138-D4B5-4443-AECA-D602B4B6CB84}"/>
    <cellStyle name="Note" xfId="113" builtinId="10" customBuiltin="1"/>
    <cellStyle name="Note 2" xfId="199" xr:uid="{522EA017-9F2F-4EDC-9BE9-5A25ED05AEDF}"/>
    <cellStyle name="Output" xfId="114" builtinId="21" customBuiltin="1"/>
    <cellStyle name="Output 2" xfId="194" xr:uid="{6F197178-1C34-4C23-B35D-2A2D2BA246FC}"/>
    <cellStyle name="Percent" xfId="115" builtinId="5"/>
    <cellStyle name="Percent 10" xfId="181" xr:uid="{00000000-0005-0000-0000-000099000000}"/>
    <cellStyle name="Percent 11" xfId="183" xr:uid="{00000000-0005-0000-0000-00009A000000}"/>
    <cellStyle name="Percent 2" xfId="116" xr:uid="{00000000-0005-0000-0000-00009B000000}"/>
    <cellStyle name="Percent 2 2" xfId="117" xr:uid="{00000000-0005-0000-0000-00009C000000}"/>
    <cellStyle name="Percent 2 2 2" xfId="118" xr:uid="{00000000-0005-0000-0000-00009D000000}"/>
    <cellStyle name="Percent 2 2 3" xfId="119" xr:uid="{00000000-0005-0000-0000-00009E000000}"/>
    <cellStyle name="Percent 2 3" xfId="120" xr:uid="{00000000-0005-0000-0000-00009F000000}"/>
    <cellStyle name="Percent 2 3 2" xfId="121" xr:uid="{00000000-0005-0000-0000-0000A0000000}"/>
    <cellStyle name="Percent 2 3 3" xfId="122" xr:uid="{00000000-0005-0000-0000-0000A1000000}"/>
    <cellStyle name="Percent 2 4" xfId="123" xr:uid="{00000000-0005-0000-0000-0000A2000000}"/>
    <cellStyle name="Percent 2 4 2" xfId="169" xr:uid="{00000000-0005-0000-0000-0000A3000000}"/>
    <cellStyle name="Percent 2 4 3" xfId="168" xr:uid="{00000000-0005-0000-0000-0000A4000000}"/>
    <cellStyle name="Percent 2 5" xfId="124" xr:uid="{00000000-0005-0000-0000-0000A5000000}"/>
    <cellStyle name="Percent 3" xfId="125" xr:uid="{00000000-0005-0000-0000-0000A6000000}"/>
    <cellStyle name="Percent 3 2" xfId="126" xr:uid="{00000000-0005-0000-0000-0000A7000000}"/>
    <cellStyle name="Percent 3 2 2" xfId="127" xr:uid="{00000000-0005-0000-0000-0000A8000000}"/>
    <cellStyle name="Percent 3 3" xfId="128" xr:uid="{00000000-0005-0000-0000-0000A9000000}"/>
    <cellStyle name="Percent 4" xfId="129" xr:uid="{00000000-0005-0000-0000-0000AA000000}"/>
    <cellStyle name="Percent 4 2" xfId="130" xr:uid="{00000000-0005-0000-0000-0000AB000000}"/>
    <cellStyle name="Percent 4 3" xfId="131" xr:uid="{00000000-0005-0000-0000-0000AC000000}"/>
    <cellStyle name="Percent 5" xfId="132" xr:uid="{00000000-0005-0000-0000-0000AD000000}"/>
    <cellStyle name="Percent 5 2" xfId="133" xr:uid="{00000000-0005-0000-0000-0000AE000000}"/>
    <cellStyle name="Percent 5 3" xfId="134" xr:uid="{00000000-0005-0000-0000-0000AF000000}"/>
    <cellStyle name="Percent 6" xfId="135" xr:uid="{00000000-0005-0000-0000-0000B0000000}"/>
    <cellStyle name="Percent 6 2" xfId="136" xr:uid="{00000000-0005-0000-0000-0000B1000000}"/>
    <cellStyle name="Percent 6 3" xfId="137" xr:uid="{00000000-0005-0000-0000-0000B2000000}"/>
    <cellStyle name="Percent 7" xfId="138" xr:uid="{00000000-0005-0000-0000-0000B3000000}"/>
    <cellStyle name="Percent 8" xfId="139" xr:uid="{00000000-0005-0000-0000-0000B4000000}"/>
    <cellStyle name="Percent 9" xfId="167" xr:uid="{00000000-0005-0000-0000-0000B5000000}"/>
    <cellStyle name="Title" xfId="140" builtinId="15" customBuiltin="1"/>
    <cellStyle name="Title 2" xfId="185" xr:uid="{92CCC765-89BA-4577-8B31-A38783DB2A96}"/>
    <cellStyle name="Total" xfId="141" builtinId="25" customBuiltin="1"/>
    <cellStyle name="Total 2" xfId="201" xr:uid="{5713CA90-A716-476B-8001-1EE6F9BCBE39}"/>
    <cellStyle name="Warning Text" xfId="142" builtinId="11" customBuiltin="1"/>
    <cellStyle name="Warning Text 2" xfId="198" xr:uid="{E39DCE3B-6363-4DFE-B8AB-4CB641E03D59}"/>
  </cellStyles>
  <dxfs count="976">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607142</xdr:colOff>
      <xdr:row>2</xdr:row>
      <xdr:rowOff>104775</xdr:rowOff>
    </xdr:to>
    <xdr:pic>
      <xdr:nvPicPr>
        <xdr:cNvPr id="6" name="Picture 5" descr="Creative Commons License">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216742"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20Drive%20Files/FISCAL/1220%20by%20Month/August_2019_1220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Tbl2007"/>
      <sheetName val="Enrollment In"/>
      <sheetName val="BEA Rate In"/>
      <sheetName val="Summary"/>
      <sheetName val="Summary Old .9309"/>
      <sheetName val="ESA112 coop"/>
      <sheetName val="ESA112 coop Old .9309"/>
      <sheetName val="CROSST"/>
      <sheetName val="MEDRPT"/>
      <sheetName val="TRANRPT"/>
      <sheetName val="Download 3121"/>
      <sheetName val="Download 4121 4122"/>
      <sheetName val="Download Final"/>
      <sheetName val="F203 Data"/>
    </sheetNames>
    <sheetDataSet>
      <sheetData sheetId="0" refreshError="1"/>
      <sheetData sheetId="1" refreshError="1"/>
      <sheetData sheetId="2">
        <row r="7">
          <cell r="L7" t="str">
            <v>01109</v>
          </cell>
          <cell r="N7">
            <v>1</v>
          </cell>
          <cell r="O7">
            <v>3</v>
          </cell>
          <cell r="P7">
            <v>53.1</v>
          </cell>
          <cell r="Q7">
            <v>4</v>
          </cell>
        </row>
        <row r="8">
          <cell r="L8" t="str">
            <v>01122</v>
          </cell>
          <cell r="O8">
            <v>1.56</v>
          </cell>
          <cell r="P8">
            <v>12.5</v>
          </cell>
          <cell r="Q8">
            <v>1.56</v>
          </cell>
        </row>
        <row r="9">
          <cell r="L9" t="str">
            <v>01147</v>
          </cell>
          <cell r="M9">
            <v>48.44</v>
          </cell>
          <cell r="N9">
            <v>51.11</v>
          </cell>
          <cell r="O9">
            <v>581.11</v>
          </cell>
          <cell r="P9">
            <v>4442.12</v>
          </cell>
          <cell r="Q9">
            <v>680.66</v>
          </cell>
        </row>
        <row r="10">
          <cell r="L10" t="str">
            <v>01158</v>
          </cell>
          <cell r="M10">
            <v>0.89</v>
          </cell>
          <cell r="N10">
            <v>2</v>
          </cell>
          <cell r="O10">
            <v>27.89</v>
          </cell>
          <cell r="P10">
            <v>197.93</v>
          </cell>
          <cell r="Q10">
            <v>30.78</v>
          </cell>
        </row>
        <row r="11">
          <cell r="L11" t="str">
            <v>01160</v>
          </cell>
          <cell r="N11">
            <v>4.33</v>
          </cell>
          <cell r="O11">
            <v>28.44</v>
          </cell>
          <cell r="P11">
            <v>350.95</v>
          </cell>
          <cell r="Q11">
            <v>32.770000000000003</v>
          </cell>
        </row>
        <row r="12">
          <cell r="L12" t="str">
            <v>02250</v>
          </cell>
          <cell r="M12">
            <v>37.78</v>
          </cell>
          <cell r="N12">
            <v>33.22</v>
          </cell>
          <cell r="O12">
            <v>373.78</v>
          </cell>
          <cell r="P12">
            <v>2582.6200000000003</v>
          </cell>
          <cell r="Q12">
            <v>444.78</v>
          </cell>
        </row>
        <row r="13">
          <cell r="L13" t="str">
            <v>02420</v>
          </cell>
          <cell r="M13">
            <v>2.56</v>
          </cell>
          <cell r="N13">
            <v>8.44</v>
          </cell>
          <cell r="O13">
            <v>80.44</v>
          </cell>
          <cell r="P13">
            <v>639.36</v>
          </cell>
          <cell r="Q13">
            <v>91.44</v>
          </cell>
        </row>
        <row r="14">
          <cell r="L14" t="str">
            <v>03017</v>
          </cell>
          <cell r="M14">
            <v>126.11</v>
          </cell>
          <cell r="N14">
            <v>262.22000000000003</v>
          </cell>
          <cell r="O14">
            <v>2046.78</v>
          </cell>
          <cell r="P14">
            <v>18317.639999999996</v>
          </cell>
          <cell r="Q14">
            <v>2435.11</v>
          </cell>
        </row>
        <row r="15">
          <cell r="L15" t="str">
            <v>03050</v>
          </cell>
          <cell r="M15">
            <v>0.89</v>
          </cell>
          <cell r="N15">
            <v>1.67</v>
          </cell>
          <cell r="O15">
            <v>16.11</v>
          </cell>
          <cell r="P15">
            <v>115.4</v>
          </cell>
          <cell r="Q15">
            <v>18.669999999999998</v>
          </cell>
        </row>
        <row r="16">
          <cell r="L16" t="str">
            <v>03052</v>
          </cell>
          <cell r="M16">
            <v>11.33</v>
          </cell>
          <cell r="N16">
            <v>10.78</v>
          </cell>
          <cell r="O16">
            <v>190.56</v>
          </cell>
          <cell r="P16">
            <v>1403.58</v>
          </cell>
          <cell r="Q16">
            <v>212.67000000000002</v>
          </cell>
        </row>
        <row r="17">
          <cell r="L17" t="str">
            <v>03053</v>
          </cell>
          <cell r="M17">
            <v>9.11</v>
          </cell>
          <cell r="N17">
            <v>7.44</v>
          </cell>
          <cell r="O17">
            <v>137.88999999999999</v>
          </cell>
          <cell r="P17">
            <v>884.11</v>
          </cell>
          <cell r="Q17">
            <v>154.44</v>
          </cell>
        </row>
        <row r="18">
          <cell r="L18" t="str">
            <v>03116</v>
          </cell>
          <cell r="M18">
            <v>12.11</v>
          </cell>
          <cell r="N18">
            <v>25.56</v>
          </cell>
          <cell r="O18">
            <v>335.56</v>
          </cell>
          <cell r="P18">
            <v>2632.67</v>
          </cell>
          <cell r="Q18">
            <v>373.23</v>
          </cell>
        </row>
        <row r="19">
          <cell r="L19" t="str">
            <v>03400</v>
          </cell>
          <cell r="M19">
            <v>77.33</v>
          </cell>
          <cell r="N19">
            <v>166.22</v>
          </cell>
          <cell r="O19">
            <v>1433.22</v>
          </cell>
          <cell r="P19">
            <v>13602.76</v>
          </cell>
          <cell r="Q19">
            <v>1676.77</v>
          </cell>
        </row>
        <row r="20">
          <cell r="L20" t="str">
            <v>04019</v>
          </cell>
          <cell r="M20">
            <v>1.1100000000000001</v>
          </cell>
          <cell r="N20">
            <v>3.67</v>
          </cell>
          <cell r="O20">
            <v>78.33</v>
          </cell>
          <cell r="P20">
            <v>605.16</v>
          </cell>
          <cell r="Q20">
            <v>83.11</v>
          </cell>
        </row>
        <row r="21">
          <cell r="L21" t="str">
            <v>04069</v>
          </cell>
          <cell r="P21">
            <v>6.4</v>
          </cell>
          <cell r="Q21">
            <v>0</v>
          </cell>
        </row>
        <row r="22">
          <cell r="L22" t="str">
            <v>04127</v>
          </cell>
          <cell r="M22">
            <v>2.67</v>
          </cell>
          <cell r="N22">
            <v>6</v>
          </cell>
          <cell r="O22">
            <v>31.22</v>
          </cell>
          <cell r="P22">
            <v>317.2</v>
          </cell>
          <cell r="Q22">
            <v>39.89</v>
          </cell>
        </row>
        <row r="23">
          <cell r="L23" t="str">
            <v>04129</v>
          </cell>
          <cell r="M23">
            <v>4.4400000000000004</v>
          </cell>
          <cell r="N23">
            <v>11.89</v>
          </cell>
          <cell r="O23">
            <v>129.22</v>
          </cell>
          <cell r="P23">
            <v>1409.82</v>
          </cell>
          <cell r="Q23">
            <v>145.55000000000001</v>
          </cell>
        </row>
        <row r="24">
          <cell r="L24" t="str">
            <v>04222</v>
          </cell>
          <cell r="M24">
            <v>6.56</v>
          </cell>
          <cell r="N24">
            <v>20.78</v>
          </cell>
          <cell r="O24">
            <v>185</v>
          </cell>
          <cell r="P24">
            <v>1604.4299999999998</v>
          </cell>
          <cell r="Q24">
            <v>212.34</v>
          </cell>
        </row>
        <row r="25">
          <cell r="L25" t="str">
            <v>04228</v>
          </cell>
          <cell r="M25">
            <v>5.78</v>
          </cell>
          <cell r="N25">
            <v>15.11</v>
          </cell>
          <cell r="O25">
            <v>124.67</v>
          </cell>
          <cell r="P25">
            <v>1303.3599999999999</v>
          </cell>
          <cell r="Q25">
            <v>145.56</v>
          </cell>
        </row>
        <row r="26">
          <cell r="L26" t="str">
            <v>04246</v>
          </cell>
          <cell r="M26">
            <v>56.22</v>
          </cell>
          <cell r="N26">
            <v>103.67</v>
          </cell>
          <cell r="O26">
            <v>842.22</v>
          </cell>
          <cell r="P26">
            <v>7597.8200000000006</v>
          </cell>
          <cell r="Q26">
            <v>1002.11</v>
          </cell>
        </row>
        <row r="27">
          <cell r="L27" t="str">
            <v>05121</v>
          </cell>
          <cell r="M27">
            <v>22.33</v>
          </cell>
          <cell r="N27">
            <v>52.78</v>
          </cell>
          <cell r="O27">
            <v>515.89</v>
          </cell>
          <cell r="P27">
            <v>3730.67</v>
          </cell>
          <cell r="Q27">
            <v>591</v>
          </cell>
        </row>
        <row r="28">
          <cell r="L28" t="str">
            <v>05313</v>
          </cell>
          <cell r="O28">
            <v>35.67</v>
          </cell>
          <cell r="P28">
            <v>351.19</v>
          </cell>
          <cell r="Q28">
            <v>35.67</v>
          </cell>
        </row>
        <row r="29">
          <cell r="L29" t="str">
            <v>05323</v>
          </cell>
          <cell r="M29">
            <v>9</v>
          </cell>
          <cell r="N29">
            <v>28.78</v>
          </cell>
          <cell r="O29">
            <v>414</v>
          </cell>
          <cell r="P29">
            <v>2787.27</v>
          </cell>
          <cell r="Q29">
            <v>451.78</v>
          </cell>
        </row>
        <row r="30">
          <cell r="L30" t="str">
            <v>05401</v>
          </cell>
          <cell r="M30">
            <v>3.33</v>
          </cell>
          <cell r="N30">
            <v>7.56</v>
          </cell>
          <cell r="O30">
            <v>63.89</v>
          </cell>
          <cell r="P30">
            <v>496.18</v>
          </cell>
          <cell r="Q30">
            <v>74.78</v>
          </cell>
        </row>
        <row r="31">
          <cell r="L31" t="str">
            <v>05402</v>
          </cell>
          <cell r="M31">
            <v>5.1100000000000003</v>
          </cell>
          <cell r="N31">
            <v>11.67</v>
          </cell>
          <cell r="O31">
            <v>554.55999999999995</v>
          </cell>
          <cell r="P31">
            <v>3328.3500000000004</v>
          </cell>
          <cell r="Q31">
            <v>571.33999999999992</v>
          </cell>
        </row>
        <row r="32">
          <cell r="L32" t="str">
            <v>05903</v>
          </cell>
          <cell r="O32">
            <v>28</v>
          </cell>
          <cell r="P32">
            <v>96.93</v>
          </cell>
          <cell r="Q32">
            <v>28</v>
          </cell>
        </row>
        <row r="33">
          <cell r="L33" t="str">
            <v>06037</v>
          </cell>
          <cell r="M33">
            <v>144.56</v>
          </cell>
          <cell r="N33">
            <v>246.78</v>
          </cell>
          <cell r="O33">
            <v>2741.89</v>
          </cell>
          <cell r="P33">
            <v>22968.18</v>
          </cell>
          <cell r="Q33">
            <v>3133.23</v>
          </cell>
        </row>
        <row r="34">
          <cell r="L34" t="str">
            <v>06098</v>
          </cell>
          <cell r="M34">
            <v>4.22</v>
          </cell>
          <cell r="N34">
            <v>11.67</v>
          </cell>
          <cell r="O34">
            <v>165.22</v>
          </cell>
          <cell r="P34">
            <v>1972.8300000000002</v>
          </cell>
          <cell r="Q34">
            <v>181.11</v>
          </cell>
        </row>
        <row r="35">
          <cell r="L35" t="str">
            <v>06101</v>
          </cell>
          <cell r="M35">
            <v>2.89</v>
          </cell>
          <cell r="N35">
            <v>14.78</v>
          </cell>
          <cell r="O35">
            <v>205.67</v>
          </cell>
          <cell r="P35">
            <v>1696.6100000000001</v>
          </cell>
          <cell r="Q35">
            <v>223.33999999999997</v>
          </cell>
        </row>
        <row r="36">
          <cell r="L36" t="str">
            <v>06103</v>
          </cell>
          <cell r="O36">
            <v>14.33</v>
          </cell>
          <cell r="P36">
            <v>160.9</v>
          </cell>
          <cell r="Q36">
            <v>14.33</v>
          </cell>
        </row>
        <row r="37">
          <cell r="L37" t="str">
            <v>06112</v>
          </cell>
          <cell r="M37">
            <v>13.33</v>
          </cell>
          <cell r="N37">
            <v>35.56</v>
          </cell>
          <cell r="O37">
            <v>418.78</v>
          </cell>
          <cell r="P37">
            <v>3138.19</v>
          </cell>
          <cell r="Q37">
            <v>467.66999999999996</v>
          </cell>
        </row>
        <row r="38">
          <cell r="L38" t="str">
            <v>06114</v>
          </cell>
          <cell r="M38">
            <v>136.44</v>
          </cell>
          <cell r="N38">
            <v>201.44</v>
          </cell>
          <cell r="O38">
            <v>3330.11</v>
          </cell>
          <cell r="P38">
            <v>25053.84</v>
          </cell>
          <cell r="Q38">
            <v>3667.9900000000002</v>
          </cell>
        </row>
        <row r="39">
          <cell r="L39" t="str">
            <v>06117</v>
          </cell>
          <cell r="M39">
            <v>26.11</v>
          </cell>
          <cell r="N39">
            <v>68.67</v>
          </cell>
          <cell r="O39">
            <v>725.11</v>
          </cell>
          <cell r="P39">
            <v>7292.98</v>
          </cell>
          <cell r="Q39">
            <v>819.89</v>
          </cell>
        </row>
        <row r="40">
          <cell r="L40" t="str">
            <v>06119</v>
          </cell>
          <cell r="M40">
            <v>44.78</v>
          </cell>
          <cell r="N40">
            <v>130</v>
          </cell>
          <cell r="O40">
            <v>1792.1000000000001</v>
          </cell>
          <cell r="P40">
            <v>13063.6</v>
          </cell>
          <cell r="Q40">
            <v>1966.88</v>
          </cell>
        </row>
        <row r="41">
          <cell r="L41" t="str">
            <v>06122</v>
          </cell>
          <cell r="M41">
            <v>13</v>
          </cell>
          <cell r="N41">
            <v>27.11</v>
          </cell>
          <cell r="O41">
            <v>331.33</v>
          </cell>
          <cell r="P41">
            <v>3194.45</v>
          </cell>
          <cell r="Q41">
            <v>371.44</v>
          </cell>
        </row>
        <row r="42">
          <cell r="L42" t="str">
            <v>07002</v>
          </cell>
          <cell r="M42">
            <v>2.89</v>
          </cell>
          <cell r="N42">
            <v>6.56</v>
          </cell>
          <cell r="O42">
            <v>46</v>
          </cell>
          <cell r="P42">
            <v>385.62</v>
          </cell>
          <cell r="Q42">
            <v>55.45</v>
          </cell>
        </row>
        <row r="43">
          <cell r="L43" t="str">
            <v>07035</v>
          </cell>
          <cell r="M43">
            <v>0.56000000000000005</v>
          </cell>
          <cell r="N43">
            <v>0.89</v>
          </cell>
          <cell r="O43">
            <v>3.56</v>
          </cell>
          <cell r="P43">
            <v>19.100000000000001</v>
          </cell>
          <cell r="Q43">
            <v>5.01</v>
          </cell>
        </row>
        <row r="44">
          <cell r="L44" t="str">
            <v>08122</v>
          </cell>
          <cell r="M44">
            <v>90.89</v>
          </cell>
          <cell r="N44">
            <v>134.22</v>
          </cell>
          <cell r="O44">
            <v>1048.8900000000001</v>
          </cell>
          <cell r="P44">
            <v>6493.55</v>
          </cell>
          <cell r="Q44">
            <v>1274</v>
          </cell>
        </row>
        <row r="45">
          <cell r="L45" t="str">
            <v>08130</v>
          </cell>
          <cell r="M45">
            <v>3.78</v>
          </cell>
          <cell r="N45">
            <v>10.11</v>
          </cell>
          <cell r="O45">
            <v>90.78</v>
          </cell>
          <cell r="P45">
            <v>679.28</v>
          </cell>
          <cell r="Q45">
            <v>104.67</v>
          </cell>
        </row>
        <row r="46">
          <cell r="L46" t="str">
            <v>08401</v>
          </cell>
          <cell r="M46">
            <v>16</v>
          </cell>
          <cell r="N46">
            <v>18.670000000000002</v>
          </cell>
          <cell r="O46">
            <v>230.44</v>
          </cell>
          <cell r="P46">
            <v>1385.02</v>
          </cell>
          <cell r="Q46">
            <v>265.11</v>
          </cell>
        </row>
        <row r="47">
          <cell r="L47" t="str">
            <v>08402</v>
          </cell>
          <cell r="M47">
            <v>12.78</v>
          </cell>
          <cell r="N47">
            <v>16.22</v>
          </cell>
          <cell r="O47">
            <v>172.11</v>
          </cell>
          <cell r="P47">
            <v>1022.64</v>
          </cell>
          <cell r="Q47">
            <v>201.11</v>
          </cell>
        </row>
        <row r="48">
          <cell r="L48" t="str">
            <v>08404</v>
          </cell>
          <cell r="M48">
            <v>15</v>
          </cell>
          <cell r="N48">
            <v>26.22</v>
          </cell>
          <cell r="O48">
            <v>318.44</v>
          </cell>
          <cell r="P48">
            <v>2502.9199999999996</v>
          </cell>
          <cell r="Q48">
            <v>359.65999999999997</v>
          </cell>
        </row>
        <row r="49">
          <cell r="L49" t="str">
            <v>08458</v>
          </cell>
          <cell r="M49">
            <v>57.89</v>
          </cell>
          <cell r="N49">
            <v>58.11</v>
          </cell>
          <cell r="O49">
            <v>650.55999999999995</v>
          </cell>
          <cell r="P49">
            <v>4978.9500000000007</v>
          </cell>
          <cell r="Q49">
            <v>766.56</v>
          </cell>
        </row>
        <row r="50">
          <cell r="L50" t="str">
            <v>09013</v>
          </cell>
          <cell r="M50">
            <v>0.44</v>
          </cell>
          <cell r="N50">
            <v>5.56</v>
          </cell>
          <cell r="O50">
            <v>15.89</v>
          </cell>
          <cell r="P50">
            <v>175.6</v>
          </cell>
          <cell r="Q50">
            <v>21.89</v>
          </cell>
        </row>
        <row r="51">
          <cell r="L51" t="str">
            <v>09075</v>
          </cell>
          <cell r="M51">
            <v>8.11</v>
          </cell>
          <cell r="N51">
            <v>11.89</v>
          </cell>
          <cell r="O51">
            <v>74.44</v>
          </cell>
          <cell r="P51">
            <v>830.04</v>
          </cell>
          <cell r="Q51">
            <v>94.44</v>
          </cell>
        </row>
        <row r="52">
          <cell r="L52" t="str">
            <v>09102</v>
          </cell>
          <cell r="N52">
            <v>1</v>
          </cell>
          <cell r="O52">
            <v>3.11</v>
          </cell>
          <cell r="P52">
            <v>25.4</v>
          </cell>
          <cell r="Q52">
            <v>4.1099999999999994</v>
          </cell>
        </row>
        <row r="53">
          <cell r="L53" t="str">
            <v>09206</v>
          </cell>
          <cell r="M53">
            <v>34.67</v>
          </cell>
          <cell r="N53">
            <v>68.67</v>
          </cell>
          <cell r="O53">
            <v>674.22</v>
          </cell>
          <cell r="P53">
            <v>6118.12</v>
          </cell>
          <cell r="Q53">
            <v>777.56000000000006</v>
          </cell>
        </row>
        <row r="54">
          <cell r="L54" t="str">
            <v>09207</v>
          </cell>
          <cell r="M54">
            <v>1.89</v>
          </cell>
          <cell r="N54">
            <v>2.78</v>
          </cell>
          <cell r="O54">
            <v>10.44</v>
          </cell>
          <cell r="P54">
            <v>88.67</v>
          </cell>
          <cell r="Q54">
            <v>15.11</v>
          </cell>
        </row>
        <row r="55">
          <cell r="L55" t="str">
            <v>09209</v>
          </cell>
          <cell r="M55">
            <v>1.56</v>
          </cell>
          <cell r="N55">
            <v>1.1100000000000001</v>
          </cell>
          <cell r="O55">
            <v>50.33</v>
          </cell>
          <cell r="P55">
            <v>280.19</v>
          </cell>
          <cell r="Q55">
            <v>53</v>
          </cell>
        </row>
        <row r="56">
          <cell r="L56" t="str">
            <v>10003</v>
          </cell>
          <cell r="M56">
            <v>0.11</v>
          </cell>
          <cell r="N56">
            <v>0.56000000000000005</v>
          </cell>
          <cell r="O56">
            <v>1.89</v>
          </cell>
          <cell r="P56">
            <v>33.700000000000003</v>
          </cell>
          <cell r="Q56">
            <v>2.56</v>
          </cell>
        </row>
        <row r="57">
          <cell r="L57" t="str">
            <v>10050</v>
          </cell>
          <cell r="N57">
            <v>0.33</v>
          </cell>
          <cell r="O57">
            <v>21.22</v>
          </cell>
          <cell r="P57">
            <v>244.85000000000002</v>
          </cell>
          <cell r="Q57">
            <v>21.549999999999997</v>
          </cell>
        </row>
        <row r="58">
          <cell r="L58" t="str">
            <v>10065</v>
          </cell>
          <cell r="O58">
            <v>11.89</v>
          </cell>
          <cell r="P58">
            <v>46.5</v>
          </cell>
          <cell r="Q58">
            <v>11.89</v>
          </cell>
        </row>
        <row r="59">
          <cell r="L59" t="str">
            <v>10070</v>
          </cell>
          <cell r="N59">
            <v>5.67</v>
          </cell>
          <cell r="O59">
            <v>23.33</v>
          </cell>
          <cell r="P59">
            <v>209.22</v>
          </cell>
          <cell r="Q59">
            <v>29</v>
          </cell>
        </row>
        <row r="60">
          <cell r="L60" t="str">
            <v>10309</v>
          </cell>
          <cell r="M60">
            <v>1.1100000000000001</v>
          </cell>
          <cell r="N60">
            <v>1.44</v>
          </cell>
          <cell r="O60">
            <v>36</v>
          </cell>
          <cell r="P60">
            <v>345.69</v>
          </cell>
          <cell r="Q60">
            <v>38.549999999999997</v>
          </cell>
        </row>
        <row r="61">
          <cell r="L61" t="str">
            <v>11001</v>
          </cell>
          <cell r="M61">
            <v>114.11</v>
          </cell>
          <cell r="N61">
            <v>171.44</v>
          </cell>
          <cell r="O61">
            <v>2281.2199999999998</v>
          </cell>
          <cell r="P61">
            <v>18267.310000000001</v>
          </cell>
          <cell r="Q61">
            <v>2566.77</v>
          </cell>
        </row>
        <row r="62">
          <cell r="L62" t="str">
            <v>11051</v>
          </cell>
          <cell r="M62">
            <v>8.44</v>
          </cell>
          <cell r="N62">
            <v>29.89</v>
          </cell>
          <cell r="O62">
            <v>284.89</v>
          </cell>
          <cell r="P62">
            <v>2105.44</v>
          </cell>
          <cell r="Q62">
            <v>323.21999999999997</v>
          </cell>
        </row>
        <row r="63">
          <cell r="L63" t="str">
            <v>11054</v>
          </cell>
          <cell r="O63">
            <v>0.67</v>
          </cell>
          <cell r="P63">
            <v>9.1</v>
          </cell>
          <cell r="Q63">
            <v>0.67</v>
          </cell>
        </row>
        <row r="64">
          <cell r="L64" t="str">
            <v>11056</v>
          </cell>
          <cell r="N64">
            <v>0.78</v>
          </cell>
          <cell r="O64">
            <v>4.67</v>
          </cell>
          <cell r="P64">
            <v>44.22</v>
          </cell>
          <cell r="Q64">
            <v>5.45</v>
          </cell>
        </row>
        <row r="65">
          <cell r="L65" t="str">
            <v>12110</v>
          </cell>
          <cell r="M65">
            <v>5.22</v>
          </cell>
          <cell r="N65">
            <v>12</v>
          </cell>
          <cell r="O65">
            <v>39.11</v>
          </cell>
          <cell r="P65">
            <v>314.55</v>
          </cell>
          <cell r="Q65">
            <v>56.33</v>
          </cell>
        </row>
        <row r="66">
          <cell r="L66" t="str">
            <v>13073</v>
          </cell>
          <cell r="M66">
            <v>21.33</v>
          </cell>
          <cell r="N66">
            <v>17.78</v>
          </cell>
          <cell r="O66">
            <v>318.89</v>
          </cell>
          <cell r="P66">
            <v>2406</v>
          </cell>
          <cell r="Q66">
            <v>358</v>
          </cell>
        </row>
        <row r="67">
          <cell r="L67" t="str">
            <v>13144</v>
          </cell>
          <cell r="M67">
            <v>15.67</v>
          </cell>
          <cell r="N67">
            <v>39.56</v>
          </cell>
          <cell r="O67">
            <v>385.89</v>
          </cell>
          <cell r="P67">
            <v>2948.79</v>
          </cell>
          <cell r="Q67">
            <v>441.12</v>
          </cell>
        </row>
        <row r="68">
          <cell r="L68" t="str">
            <v>13146</v>
          </cell>
          <cell r="M68">
            <v>3.11</v>
          </cell>
          <cell r="N68">
            <v>9.44</v>
          </cell>
          <cell r="O68">
            <v>134.44</v>
          </cell>
          <cell r="P68">
            <v>921.8</v>
          </cell>
          <cell r="Q68">
            <v>146.99</v>
          </cell>
        </row>
        <row r="69">
          <cell r="L69" t="str">
            <v>13151</v>
          </cell>
          <cell r="N69">
            <v>0.33</v>
          </cell>
          <cell r="O69">
            <v>21.67</v>
          </cell>
          <cell r="P69">
            <v>206.51</v>
          </cell>
          <cell r="Q69">
            <v>22</v>
          </cell>
        </row>
        <row r="70">
          <cell r="L70" t="str">
            <v>13156</v>
          </cell>
          <cell r="M70">
            <v>2.44</v>
          </cell>
          <cell r="N70">
            <v>14.67</v>
          </cell>
          <cell r="O70">
            <v>71.56</v>
          </cell>
          <cell r="P70">
            <v>524.43999999999994</v>
          </cell>
          <cell r="Q70">
            <v>88.67</v>
          </cell>
        </row>
        <row r="71">
          <cell r="L71" t="str">
            <v>13160</v>
          </cell>
          <cell r="M71">
            <v>6.89</v>
          </cell>
          <cell r="N71">
            <v>11.22</v>
          </cell>
          <cell r="O71">
            <v>168.22</v>
          </cell>
          <cell r="P71">
            <v>1740.07</v>
          </cell>
          <cell r="Q71">
            <v>186.32999999999998</v>
          </cell>
        </row>
        <row r="72">
          <cell r="L72" t="str">
            <v>13161</v>
          </cell>
          <cell r="M72">
            <v>48.78</v>
          </cell>
          <cell r="N72">
            <v>119.89</v>
          </cell>
          <cell r="O72">
            <v>1021.56</v>
          </cell>
          <cell r="P72">
            <v>8572.35</v>
          </cell>
          <cell r="Q72">
            <v>1190.23</v>
          </cell>
        </row>
        <row r="73">
          <cell r="L73" t="str">
            <v>13165</v>
          </cell>
          <cell r="M73">
            <v>7.22</v>
          </cell>
          <cell r="N73">
            <v>28.67</v>
          </cell>
          <cell r="O73">
            <v>286.77999999999997</v>
          </cell>
          <cell r="P73">
            <v>2579.6400000000003</v>
          </cell>
          <cell r="Q73">
            <v>322.66999999999996</v>
          </cell>
        </row>
        <row r="74">
          <cell r="L74" t="str">
            <v>13167</v>
          </cell>
          <cell r="N74">
            <v>1.44</v>
          </cell>
          <cell r="O74">
            <v>13.89</v>
          </cell>
          <cell r="P74">
            <v>147.96</v>
          </cell>
          <cell r="Q74">
            <v>15.33</v>
          </cell>
        </row>
        <row r="75">
          <cell r="L75" t="str">
            <v>13301</v>
          </cell>
          <cell r="M75">
            <v>6.67</v>
          </cell>
          <cell r="N75">
            <v>6.11</v>
          </cell>
          <cell r="O75">
            <v>108.78</v>
          </cell>
          <cell r="P75">
            <v>727.06</v>
          </cell>
          <cell r="Q75">
            <v>121.56</v>
          </cell>
        </row>
        <row r="76">
          <cell r="L76" t="str">
            <v>14005</v>
          </cell>
          <cell r="M76">
            <v>25.44</v>
          </cell>
          <cell r="N76">
            <v>76.22</v>
          </cell>
          <cell r="O76">
            <v>530.11</v>
          </cell>
          <cell r="P76">
            <v>3337.6000000000004</v>
          </cell>
          <cell r="Q76">
            <v>631.77</v>
          </cell>
        </row>
        <row r="77">
          <cell r="L77" t="str">
            <v>14028</v>
          </cell>
          <cell r="M77">
            <v>11.33</v>
          </cell>
          <cell r="N77">
            <v>25.89</v>
          </cell>
          <cell r="O77">
            <v>257.56</v>
          </cell>
          <cell r="P77">
            <v>1659.46</v>
          </cell>
          <cell r="Q77">
            <v>294.77999999999997</v>
          </cell>
        </row>
        <row r="78">
          <cell r="L78" t="str">
            <v>14064</v>
          </cell>
          <cell r="M78">
            <v>1.56</v>
          </cell>
          <cell r="N78">
            <v>9.11</v>
          </cell>
          <cell r="O78">
            <v>127.66</v>
          </cell>
          <cell r="P78">
            <v>705.07</v>
          </cell>
          <cell r="Q78">
            <v>138.32999999999998</v>
          </cell>
        </row>
        <row r="79">
          <cell r="L79" t="str">
            <v>14065</v>
          </cell>
          <cell r="M79">
            <v>1</v>
          </cell>
          <cell r="N79">
            <v>9.5499999999999989</v>
          </cell>
          <cell r="O79">
            <v>50.33</v>
          </cell>
          <cell r="P79">
            <v>298.86</v>
          </cell>
          <cell r="Q79">
            <v>60.879999999999995</v>
          </cell>
        </row>
        <row r="80">
          <cell r="L80" t="str">
            <v>14066</v>
          </cell>
          <cell r="M80">
            <v>7.67</v>
          </cell>
          <cell r="N80">
            <v>30.89</v>
          </cell>
          <cell r="O80">
            <v>175.33</v>
          </cell>
          <cell r="P80">
            <v>1391.3799999999999</v>
          </cell>
          <cell r="Q80">
            <v>213.89000000000001</v>
          </cell>
        </row>
        <row r="81">
          <cell r="L81" t="str">
            <v>14068</v>
          </cell>
          <cell r="M81">
            <v>6.44</v>
          </cell>
          <cell r="N81">
            <v>28.67</v>
          </cell>
          <cell r="O81">
            <v>250.44000000000003</v>
          </cell>
          <cell r="P81">
            <v>1505.49</v>
          </cell>
          <cell r="Q81">
            <v>285.55</v>
          </cell>
        </row>
        <row r="82">
          <cell r="L82" t="str">
            <v>14077</v>
          </cell>
          <cell r="M82">
            <v>0.22</v>
          </cell>
          <cell r="N82">
            <v>0.67</v>
          </cell>
          <cell r="O82">
            <v>29.22</v>
          </cell>
          <cell r="P82">
            <v>172.63000000000002</v>
          </cell>
          <cell r="Q82">
            <v>30.11</v>
          </cell>
        </row>
        <row r="83">
          <cell r="L83" t="str">
            <v>14097</v>
          </cell>
          <cell r="N83">
            <v>5.33</v>
          </cell>
          <cell r="O83">
            <v>31.67</v>
          </cell>
          <cell r="P83">
            <v>178.21</v>
          </cell>
          <cell r="Q83">
            <v>37</v>
          </cell>
        </row>
        <row r="84">
          <cell r="L84" t="str">
            <v>14099</v>
          </cell>
          <cell r="M84">
            <v>2.33</v>
          </cell>
          <cell r="N84">
            <v>5</v>
          </cell>
          <cell r="O84">
            <v>25.89</v>
          </cell>
          <cell r="P84">
            <v>152.03</v>
          </cell>
          <cell r="Q84">
            <v>33.22</v>
          </cell>
        </row>
        <row r="85">
          <cell r="L85" t="str">
            <v>14104</v>
          </cell>
          <cell r="O85">
            <v>9.2200000000000006</v>
          </cell>
          <cell r="P85">
            <v>55.4</v>
          </cell>
          <cell r="Q85">
            <v>9.2200000000000006</v>
          </cell>
        </row>
        <row r="86">
          <cell r="L86" t="str">
            <v>14117</v>
          </cell>
          <cell r="O86">
            <v>15.44</v>
          </cell>
          <cell r="P86">
            <v>145.79</v>
          </cell>
          <cell r="Q86">
            <v>15.44</v>
          </cell>
        </row>
        <row r="87">
          <cell r="L87" t="str">
            <v>14172</v>
          </cell>
          <cell r="M87">
            <v>5.67</v>
          </cell>
          <cell r="N87">
            <v>9.11</v>
          </cell>
          <cell r="O87">
            <v>96.89</v>
          </cell>
          <cell r="P87">
            <v>620.87</v>
          </cell>
          <cell r="Q87">
            <v>111.67</v>
          </cell>
        </row>
        <row r="88">
          <cell r="L88" t="str">
            <v>14400</v>
          </cell>
          <cell r="M88">
            <v>0.22</v>
          </cell>
          <cell r="N88">
            <v>10.33</v>
          </cell>
          <cell r="O88">
            <v>44.22</v>
          </cell>
          <cell r="P88">
            <v>230.79</v>
          </cell>
          <cell r="Q88">
            <v>54.769999999999996</v>
          </cell>
        </row>
        <row r="89">
          <cell r="L89" t="str">
            <v>15201</v>
          </cell>
          <cell r="M89">
            <v>65</v>
          </cell>
          <cell r="N89">
            <v>137.33000000000001</v>
          </cell>
          <cell r="O89">
            <v>862.22</v>
          </cell>
          <cell r="P89">
            <v>5814.130000000001</v>
          </cell>
          <cell r="Q89">
            <v>1064.55</v>
          </cell>
        </row>
        <row r="90">
          <cell r="L90" t="str">
            <v>15204</v>
          </cell>
          <cell r="M90">
            <v>4.33</v>
          </cell>
          <cell r="N90">
            <v>8.56</v>
          </cell>
          <cell r="O90">
            <v>135.11000000000001</v>
          </cell>
          <cell r="P90">
            <v>975.74</v>
          </cell>
          <cell r="Q90">
            <v>148</v>
          </cell>
        </row>
        <row r="91">
          <cell r="L91" t="str">
            <v>15206</v>
          </cell>
          <cell r="M91">
            <v>8.33</v>
          </cell>
          <cell r="N91">
            <v>13.22</v>
          </cell>
          <cell r="O91">
            <v>195.33</v>
          </cell>
          <cell r="P91">
            <v>1312.84</v>
          </cell>
          <cell r="Q91">
            <v>216.88000000000002</v>
          </cell>
        </row>
        <row r="92">
          <cell r="L92" t="str">
            <v>16020</v>
          </cell>
          <cell r="O92">
            <v>2.89</v>
          </cell>
          <cell r="P92">
            <v>17.3</v>
          </cell>
          <cell r="Q92">
            <v>2.89</v>
          </cell>
        </row>
        <row r="93">
          <cell r="L93" t="str">
            <v>16046</v>
          </cell>
          <cell r="M93">
            <v>1</v>
          </cell>
          <cell r="N93">
            <v>1.67</v>
          </cell>
          <cell r="O93">
            <v>14.67</v>
          </cell>
          <cell r="P93">
            <v>76.3</v>
          </cell>
          <cell r="Q93">
            <v>17.34</v>
          </cell>
        </row>
        <row r="94">
          <cell r="L94" t="str">
            <v>16048</v>
          </cell>
          <cell r="M94">
            <v>0.11</v>
          </cell>
          <cell r="N94">
            <v>0.78</v>
          </cell>
          <cell r="O94">
            <v>57.33</v>
          </cell>
          <cell r="P94">
            <v>619.45000000000005</v>
          </cell>
          <cell r="Q94">
            <v>58.22</v>
          </cell>
        </row>
        <row r="95">
          <cell r="L95" t="str">
            <v>16049</v>
          </cell>
          <cell r="M95">
            <v>4.67</v>
          </cell>
          <cell r="N95">
            <v>10.67</v>
          </cell>
          <cell r="O95">
            <v>123.89</v>
          </cell>
          <cell r="P95">
            <v>840.31000000000006</v>
          </cell>
          <cell r="Q95">
            <v>139.22999999999999</v>
          </cell>
        </row>
        <row r="96">
          <cell r="L96" t="str">
            <v>16050</v>
          </cell>
          <cell r="M96">
            <v>8.7799999999999994</v>
          </cell>
          <cell r="N96">
            <v>17.22</v>
          </cell>
          <cell r="O96">
            <v>182.89</v>
          </cell>
          <cell r="P96">
            <v>1186.9000000000001</v>
          </cell>
          <cell r="Q96">
            <v>208.89</v>
          </cell>
        </row>
        <row r="97">
          <cell r="L97" t="str">
            <v>17001</v>
          </cell>
          <cell r="M97">
            <v>615.11</v>
          </cell>
          <cell r="N97">
            <v>469.67</v>
          </cell>
          <cell r="O97">
            <v>7186.67</v>
          </cell>
          <cell r="P97">
            <v>53403.30999999999</v>
          </cell>
          <cell r="Q97">
            <v>8271.4500000000007</v>
          </cell>
        </row>
        <row r="98">
          <cell r="L98" t="str">
            <v>17210</v>
          </cell>
          <cell r="M98">
            <v>164</v>
          </cell>
          <cell r="N98">
            <v>274.22000000000003</v>
          </cell>
          <cell r="O98">
            <v>2916</v>
          </cell>
          <cell r="P98">
            <v>22403.280000000006</v>
          </cell>
          <cell r="Q98">
            <v>3354.2200000000003</v>
          </cell>
        </row>
        <row r="99">
          <cell r="L99" t="str">
            <v>17216</v>
          </cell>
          <cell r="M99">
            <v>28</v>
          </cell>
          <cell r="N99">
            <v>47.33</v>
          </cell>
          <cell r="O99">
            <v>612.89</v>
          </cell>
          <cell r="P99">
            <v>4028.17</v>
          </cell>
          <cell r="Q99">
            <v>688.22</v>
          </cell>
        </row>
        <row r="100">
          <cell r="L100" t="str">
            <v>17400</v>
          </cell>
          <cell r="M100">
            <v>20.440000000000001</v>
          </cell>
          <cell r="N100">
            <v>41.89</v>
          </cell>
          <cell r="O100">
            <v>395.78</v>
          </cell>
          <cell r="P100">
            <v>4431.0000000000009</v>
          </cell>
          <cell r="Q100">
            <v>458.10999999999996</v>
          </cell>
        </row>
        <row r="101">
          <cell r="L101" t="str">
            <v>17401</v>
          </cell>
          <cell r="M101">
            <v>172.78</v>
          </cell>
          <cell r="N101">
            <v>239.44</v>
          </cell>
          <cell r="O101">
            <v>2549.23</v>
          </cell>
          <cell r="P101">
            <v>18341.170000000002</v>
          </cell>
          <cell r="Q101">
            <v>2961.45</v>
          </cell>
        </row>
        <row r="102">
          <cell r="L102" t="str">
            <v>17402</v>
          </cell>
          <cell r="M102">
            <v>3.44</v>
          </cell>
          <cell r="N102">
            <v>9.56</v>
          </cell>
          <cell r="O102">
            <v>174.33</v>
          </cell>
          <cell r="P102">
            <v>1522.22</v>
          </cell>
          <cell r="Q102">
            <v>187.33</v>
          </cell>
        </row>
        <row r="103">
          <cell r="L103" t="str">
            <v>17403</v>
          </cell>
          <cell r="M103">
            <v>151.56</v>
          </cell>
          <cell r="N103">
            <v>277.77999999999997</v>
          </cell>
          <cell r="O103">
            <v>2008.4499999999998</v>
          </cell>
          <cell r="P103">
            <v>15654.51</v>
          </cell>
          <cell r="Q103">
            <v>2437.79</v>
          </cell>
        </row>
        <row r="104">
          <cell r="L104" t="str">
            <v>17404</v>
          </cell>
          <cell r="N104">
            <v>1</v>
          </cell>
          <cell r="O104">
            <v>21.56</v>
          </cell>
          <cell r="P104">
            <v>52.89</v>
          </cell>
          <cell r="Q104">
            <v>22.56</v>
          </cell>
        </row>
        <row r="105">
          <cell r="L105" t="str">
            <v>17405</v>
          </cell>
          <cell r="M105">
            <v>167.22</v>
          </cell>
          <cell r="N105">
            <v>189.22</v>
          </cell>
          <cell r="O105">
            <v>1626.11</v>
          </cell>
          <cell r="P105">
            <v>20677.77</v>
          </cell>
          <cell r="Q105">
            <v>1982.55</v>
          </cell>
        </row>
        <row r="106">
          <cell r="L106" t="str">
            <v>17406</v>
          </cell>
          <cell r="M106">
            <v>22.89</v>
          </cell>
          <cell r="N106">
            <v>38</v>
          </cell>
          <cell r="O106">
            <v>317.22000000000003</v>
          </cell>
          <cell r="P106">
            <v>2858.2</v>
          </cell>
          <cell r="Q106">
            <v>378.11</v>
          </cell>
        </row>
        <row r="107">
          <cell r="L107" t="str">
            <v>17407</v>
          </cell>
          <cell r="M107">
            <v>27</v>
          </cell>
          <cell r="N107">
            <v>34.89</v>
          </cell>
          <cell r="O107">
            <v>317.89</v>
          </cell>
          <cell r="P107">
            <v>3388.36</v>
          </cell>
          <cell r="Q107">
            <v>379.78</v>
          </cell>
        </row>
        <row r="108">
          <cell r="L108" t="str">
            <v>17408</v>
          </cell>
          <cell r="M108">
            <v>110.33</v>
          </cell>
          <cell r="N108">
            <v>203.67</v>
          </cell>
          <cell r="O108">
            <v>1745.3300000000002</v>
          </cell>
          <cell r="P108">
            <v>16743.670000000002</v>
          </cell>
          <cell r="Q108">
            <v>2059.33</v>
          </cell>
        </row>
        <row r="109">
          <cell r="L109" t="str">
            <v>17409</v>
          </cell>
          <cell r="M109">
            <v>81.44</v>
          </cell>
          <cell r="N109">
            <v>103.44</v>
          </cell>
          <cell r="O109">
            <v>969.7700000000001</v>
          </cell>
          <cell r="P109">
            <v>8648.8000000000011</v>
          </cell>
          <cell r="Q109">
            <v>1154.6500000000001</v>
          </cell>
        </row>
        <row r="110">
          <cell r="L110" t="str">
            <v>17410</v>
          </cell>
          <cell r="M110">
            <v>68.67</v>
          </cell>
          <cell r="N110">
            <v>74.33</v>
          </cell>
          <cell r="O110">
            <v>714.44</v>
          </cell>
          <cell r="P110">
            <v>7062.3099999999995</v>
          </cell>
          <cell r="Q110">
            <v>857.44</v>
          </cell>
        </row>
        <row r="111">
          <cell r="L111" t="str">
            <v>17411</v>
          </cell>
          <cell r="M111">
            <v>130.66999999999999</v>
          </cell>
          <cell r="N111">
            <v>145.66999999999999</v>
          </cell>
          <cell r="O111">
            <v>1531</v>
          </cell>
          <cell r="P111">
            <v>20638.589999999997</v>
          </cell>
          <cell r="Q111">
            <v>1807.34</v>
          </cell>
        </row>
        <row r="112">
          <cell r="L112" t="str">
            <v>17412</v>
          </cell>
          <cell r="M112">
            <v>102</v>
          </cell>
          <cell r="N112">
            <v>100.44</v>
          </cell>
          <cell r="O112">
            <v>1026.55</v>
          </cell>
          <cell r="P112">
            <v>9552.880000000001</v>
          </cell>
          <cell r="Q112">
            <v>1228.99</v>
          </cell>
        </row>
        <row r="113">
          <cell r="L113" t="str">
            <v>17414</v>
          </cell>
          <cell r="M113">
            <v>270.22000000000003</v>
          </cell>
          <cell r="N113">
            <v>300</v>
          </cell>
          <cell r="O113">
            <v>2977.6600000000003</v>
          </cell>
          <cell r="P113">
            <v>30204.29</v>
          </cell>
          <cell r="Q113">
            <v>3547.88</v>
          </cell>
        </row>
        <row r="114">
          <cell r="L114" t="str">
            <v>17415</v>
          </cell>
          <cell r="M114">
            <v>222.11</v>
          </cell>
          <cell r="N114">
            <v>295.23</v>
          </cell>
          <cell r="O114">
            <v>2620.0099999999998</v>
          </cell>
          <cell r="P114">
            <v>26712.350000000002</v>
          </cell>
          <cell r="Q114">
            <v>3137.35</v>
          </cell>
        </row>
        <row r="115">
          <cell r="L115" t="str">
            <v>17417</v>
          </cell>
          <cell r="M115">
            <v>216.22</v>
          </cell>
          <cell r="N115">
            <v>293.77999999999997</v>
          </cell>
          <cell r="O115">
            <v>2617.56</v>
          </cell>
          <cell r="P115">
            <v>22846.079999999998</v>
          </cell>
          <cell r="Q115">
            <v>3127.56</v>
          </cell>
        </row>
        <row r="116">
          <cell r="L116" t="str">
            <v>17902</v>
          </cell>
          <cell r="O116">
            <v>59.67</v>
          </cell>
          <cell r="P116">
            <v>379.1</v>
          </cell>
          <cell r="Q116">
            <v>59.67</v>
          </cell>
        </row>
        <row r="117">
          <cell r="L117" t="str">
            <v>17903</v>
          </cell>
          <cell r="P117">
            <v>524.19000000000005</v>
          </cell>
          <cell r="Q117">
            <v>0</v>
          </cell>
        </row>
        <row r="118">
          <cell r="L118" t="str">
            <v>17905</v>
          </cell>
          <cell r="O118">
            <v>58.78</v>
          </cell>
          <cell r="P118">
            <v>330.2</v>
          </cell>
          <cell r="Q118">
            <v>58.78</v>
          </cell>
        </row>
        <row r="119">
          <cell r="L119" t="str">
            <v>17906</v>
          </cell>
          <cell r="O119">
            <v>31.89</v>
          </cell>
          <cell r="P119">
            <v>173.49</v>
          </cell>
          <cell r="Q119">
            <v>31.89</v>
          </cell>
        </row>
        <row r="120">
          <cell r="L120" t="str">
            <v>17908</v>
          </cell>
          <cell r="O120">
            <v>40.56</v>
          </cell>
          <cell r="P120">
            <v>334.14</v>
          </cell>
          <cell r="Q120">
            <v>40.56</v>
          </cell>
        </row>
        <row r="121">
          <cell r="L121" t="str">
            <v>17910</v>
          </cell>
          <cell r="O121">
            <v>39.44</v>
          </cell>
          <cell r="P121">
            <v>251.1</v>
          </cell>
          <cell r="Q121">
            <v>39.44</v>
          </cell>
        </row>
        <row r="122">
          <cell r="L122" t="str">
            <v>17911</v>
          </cell>
          <cell r="O122">
            <v>4.22</v>
          </cell>
          <cell r="P122">
            <v>177.5</v>
          </cell>
          <cell r="Q122">
            <v>4.22</v>
          </cell>
        </row>
        <row r="123">
          <cell r="L123" t="str">
            <v>18100</v>
          </cell>
          <cell r="M123">
            <v>69.22</v>
          </cell>
          <cell r="N123">
            <v>102.44</v>
          </cell>
          <cell r="O123">
            <v>674.67</v>
          </cell>
          <cell r="P123">
            <v>4837.9599999999991</v>
          </cell>
          <cell r="Q123">
            <v>846.32999999999993</v>
          </cell>
        </row>
        <row r="124">
          <cell r="L124" t="str">
            <v>18303</v>
          </cell>
          <cell r="M124">
            <v>10.89</v>
          </cell>
          <cell r="N124">
            <v>41.22</v>
          </cell>
          <cell r="O124">
            <v>422.67</v>
          </cell>
          <cell r="P124">
            <v>3766.85</v>
          </cell>
          <cell r="Q124">
            <v>474.78000000000003</v>
          </cell>
        </row>
        <row r="125">
          <cell r="L125" t="str">
            <v>18400</v>
          </cell>
          <cell r="M125">
            <v>59.33</v>
          </cell>
          <cell r="N125">
            <v>89</v>
          </cell>
          <cell r="O125">
            <v>734.22</v>
          </cell>
          <cell r="P125">
            <v>5899.3100000000013</v>
          </cell>
          <cell r="Q125">
            <v>882.55</v>
          </cell>
        </row>
        <row r="126">
          <cell r="L126" t="str">
            <v>18401</v>
          </cell>
          <cell r="M126">
            <v>135</v>
          </cell>
          <cell r="N126">
            <v>182.56</v>
          </cell>
          <cell r="O126">
            <v>1588.11</v>
          </cell>
          <cell r="P126">
            <v>11234.890000000001</v>
          </cell>
          <cell r="Q126">
            <v>1905.6699999999998</v>
          </cell>
        </row>
        <row r="127">
          <cell r="L127" t="str">
            <v>18402</v>
          </cell>
          <cell r="M127">
            <v>103.67</v>
          </cell>
          <cell r="N127">
            <v>166.89</v>
          </cell>
          <cell r="O127">
            <v>1314.56</v>
          </cell>
          <cell r="P127">
            <v>9701.2099999999973</v>
          </cell>
          <cell r="Q127">
            <v>1585.12</v>
          </cell>
        </row>
        <row r="128">
          <cell r="L128" t="str">
            <v>18902</v>
          </cell>
          <cell r="O128">
            <v>21</v>
          </cell>
          <cell r="P128">
            <v>81.23</v>
          </cell>
          <cell r="Q128">
            <v>21</v>
          </cell>
        </row>
        <row r="129">
          <cell r="L129" t="str">
            <v>19007</v>
          </cell>
          <cell r="O129">
            <v>7</v>
          </cell>
          <cell r="P129">
            <v>36.200000000000003</v>
          </cell>
          <cell r="Q129">
            <v>7</v>
          </cell>
        </row>
        <row r="130">
          <cell r="L130" t="str">
            <v>19028</v>
          </cell>
          <cell r="M130">
            <v>1.78</v>
          </cell>
          <cell r="O130">
            <v>14.89</v>
          </cell>
          <cell r="P130">
            <v>105.39</v>
          </cell>
          <cell r="Q130">
            <v>16.670000000000002</v>
          </cell>
        </row>
        <row r="131">
          <cell r="L131" t="str">
            <v>19400</v>
          </cell>
          <cell r="M131">
            <v>0.44</v>
          </cell>
          <cell r="N131">
            <v>6.22</v>
          </cell>
          <cell r="O131">
            <v>22.33</v>
          </cell>
          <cell r="P131">
            <v>184.43</v>
          </cell>
          <cell r="Q131">
            <v>28.99</v>
          </cell>
        </row>
        <row r="132">
          <cell r="L132" t="str">
            <v>19401</v>
          </cell>
          <cell r="M132">
            <v>36</v>
          </cell>
          <cell r="N132">
            <v>53.56</v>
          </cell>
          <cell r="O132">
            <v>405.56</v>
          </cell>
          <cell r="P132">
            <v>3279.05</v>
          </cell>
          <cell r="Q132">
            <v>495.12</v>
          </cell>
        </row>
        <row r="133">
          <cell r="L133" t="str">
            <v>19403</v>
          </cell>
          <cell r="M133">
            <v>6.44</v>
          </cell>
          <cell r="N133">
            <v>10.56</v>
          </cell>
          <cell r="O133">
            <v>95</v>
          </cell>
          <cell r="P133">
            <v>662.68999999999994</v>
          </cell>
          <cell r="Q133">
            <v>112</v>
          </cell>
        </row>
        <row r="134">
          <cell r="L134" t="str">
            <v>19404</v>
          </cell>
          <cell r="M134">
            <v>5.22</v>
          </cell>
          <cell r="N134">
            <v>11.89</v>
          </cell>
          <cell r="O134">
            <v>112.89</v>
          </cell>
          <cell r="P134">
            <v>865.09</v>
          </cell>
          <cell r="Q134">
            <v>130</v>
          </cell>
        </row>
        <row r="135">
          <cell r="L135" t="str">
            <v>20094</v>
          </cell>
          <cell r="M135">
            <v>2</v>
          </cell>
          <cell r="N135">
            <v>0.44</v>
          </cell>
          <cell r="O135">
            <v>10.89</v>
          </cell>
          <cell r="P135">
            <v>67.39</v>
          </cell>
          <cell r="Q135">
            <v>13.33</v>
          </cell>
        </row>
        <row r="136">
          <cell r="L136" t="str">
            <v>20203</v>
          </cell>
          <cell r="N136">
            <v>0.33</v>
          </cell>
          <cell r="O136">
            <v>13.33</v>
          </cell>
          <cell r="P136">
            <v>117.57</v>
          </cell>
          <cell r="Q136">
            <v>13.66</v>
          </cell>
        </row>
        <row r="137">
          <cell r="L137" t="str">
            <v>20215</v>
          </cell>
          <cell r="O137">
            <v>7</v>
          </cell>
          <cell r="P137">
            <v>86.1</v>
          </cell>
          <cell r="Q137">
            <v>7</v>
          </cell>
        </row>
        <row r="138">
          <cell r="L138" t="str">
            <v>20400</v>
          </cell>
          <cell r="O138">
            <v>23.33</v>
          </cell>
          <cell r="P138">
            <v>232.41</v>
          </cell>
          <cell r="Q138">
            <v>23.33</v>
          </cell>
        </row>
        <row r="139">
          <cell r="L139" t="str">
            <v>20401</v>
          </cell>
          <cell r="N139">
            <v>1.33</v>
          </cell>
          <cell r="O139">
            <v>9.2200000000000006</v>
          </cell>
          <cell r="P139">
            <v>79.660000000000011</v>
          </cell>
          <cell r="Q139">
            <v>10.55</v>
          </cell>
        </row>
        <row r="140">
          <cell r="L140" t="str">
            <v>20402</v>
          </cell>
          <cell r="M140">
            <v>1.22</v>
          </cell>
          <cell r="N140">
            <v>0.11</v>
          </cell>
          <cell r="O140">
            <v>9.33</v>
          </cell>
          <cell r="P140">
            <v>86.5</v>
          </cell>
          <cell r="Q140">
            <v>10.66</v>
          </cell>
        </row>
        <row r="141">
          <cell r="L141" t="str">
            <v>20403</v>
          </cell>
          <cell r="N141">
            <v>0.78</v>
          </cell>
          <cell r="O141">
            <v>2.33</v>
          </cell>
          <cell r="P141">
            <v>22</v>
          </cell>
          <cell r="Q141">
            <v>3.1100000000000003</v>
          </cell>
        </row>
        <row r="142">
          <cell r="L142" t="str">
            <v>20404</v>
          </cell>
          <cell r="M142">
            <v>8.7799999999999994</v>
          </cell>
          <cell r="N142">
            <v>11.11</v>
          </cell>
          <cell r="O142">
            <v>116.11</v>
          </cell>
          <cell r="P142">
            <v>943.34</v>
          </cell>
          <cell r="Q142">
            <v>136</v>
          </cell>
        </row>
        <row r="143">
          <cell r="L143" t="str">
            <v>20405</v>
          </cell>
          <cell r="M143">
            <v>4.1100000000000003</v>
          </cell>
          <cell r="N143">
            <v>28.89</v>
          </cell>
          <cell r="O143">
            <v>189.44</v>
          </cell>
          <cell r="P143">
            <v>1269.0899999999999</v>
          </cell>
          <cell r="Q143">
            <v>222.44</v>
          </cell>
        </row>
        <row r="144">
          <cell r="L144" t="str">
            <v>20406</v>
          </cell>
          <cell r="M144">
            <v>3.11</v>
          </cell>
          <cell r="N144">
            <v>4.33</v>
          </cell>
          <cell r="O144">
            <v>32.11</v>
          </cell>
          <cell r="P144">
            <v>245.25</v>
          </cell>
          <cell r="Q144">
            <v>39.549999999999997</v>
          </cell>
        </row>
        <row r="145">
          <cell r="L145" t="str">
            <v>21014</v>
          </cell>
          <cell r="M145">
            <v>6.67</v>
          </cell>
          <cell r="N145">
            <v>9</v>
          </cell>
          <cell r="O145">
            <v>107</v>
          </cell>
          <cell r="P145">
            <v>819.29</v>
          </cell>
          <cell r="Q145">
            <v>122.67</v>
          </cell>
        </row>
        <row r="146">
          <cell r="L146" t="str">
            <v>21036</v>
          </cell>
          <cell r="M146">
            <v>1.89</v>
          </cell>
          <cell r="O146">
            <v>10.220000000000001</v>
          </cell>
          <cell r="P146">
            <v>55</v>
          </cell>
          <cell r="Q146">
            <v>12.110000000000001</v>
          </cell>
        </row>
        <row r="147">
          <cell r="L147" t="str">
            <v>21206</v>
          </cell>
          <cell r="M147">
            <v>4</v>
          </cell>
          <cell r="N147">
            <v>10.56</v>
          </cell>
          <cell r="O147">
            <v>88.44</v>
          </cell>
          <cell r="P147">
            <v>523.24</v>
          </cell>
          <cell r="Q147">
            <v>103</v>
          </cell>
        </row>
        <row r="148">
          <cell r="L148" t="str">
            <v>21214</v>
          </cell>
          <cell r="M148">
            <v>4.78</v>
          </cell>
          <cell r="N148">
            <v>7.44</v>
          </cell>
          <cell r="O148">
            <v>44.89</v>
          </cell>
          <cell r="P148">
            <v>314.14999999999998</v>
          </cell>
          <cell r="Q148">
            <v>57.11</v>
          </cell>
        </row>
        <row r="149">
          <cell r="L149" t="str">
            <v>21226</v>
          </cell>
          <cell r="M149">
            <v>1.33</v>
          </cell>
          <cell r="N149">
            <v>3.56</v>
          </cell>
          <cell r="O149">
            <v>62.769999999999996</v>
          </cell>
          <cell r="P149">
            <v>633.05999999999995</v>
          </cell>
          <cell r="Q149">
            <v>67.66</v>
          </cell>
        </row>
        <row r="150">
          <cell r="L150" t="str">
            <v>21232</v>
          </cell>
          <cell r="M150">
            <v>7.11</v>
          </cell>
          <cell r="N150">
            <v>9.89</v>
          </cell>
          <cell r="O150">
            <v>149</v>
          </cell>
          <cell r="P150">
            <v>711.07999999999993</v>
          </cell>
          <cell r="Q150">
            <v>166</v>
          </cell>
        </row>
        <row r="151">
          <cell r="L151" t="str">
            <v>21234</v>
          </cell>
          <cell r="M151">
            <v>1.1100000000000001</v>
          </cell>
          <cell r="N151">
            <v>2.78</v>
          </cell>
          <cell r="O151">
            <v>23.78</v>
          </cell>
          <cell r="P151">
            <v>94.81</v>
          </cell>
          <cell r="Q151">
            <v>27.67</v>
          </cell>
        </row>
        <row r="152">
          <cell r="L152" t="str">
            <v>21237</v>
          </cell>
          <cell r="M152">
            <v>5.78</v>
          </cell>
          <cell r="N152">
            <v>10.33</v>
          </cell>
          <cell r="O152">
            <v>117.78</v>
          </cell>
          <cell r="P152">
            <v>805.34</v>
          </cell>
          <cell r="Q152">
            <v>133.88999999999999</v>
          </cell>
        </row>
        <row r="153">
          <cell r="L153" t="str">
            <v>21300</v>
          </cell>
          <cell r="M153">
            <v>8.56</v>
          </cell>
          <cell r="N153">
            <v>4</v>
          </cell>
          <cell r="O153">
            <v>113</v>
          </cell>
          <cell r="P153">
            <v>805.54</v>
          </cell>
          <cell r="Q153">
            <v>125.56</v>
          </cell>
        </row>
        <row r="154">
          <cell r="L154" t="str">
            <v>21301</v>
          </cell>
          <cell r="M154">
            <v>5.1100000000000003</v>
          </cell>
          <cell r="N154">
            <v>4.78</v>
          </cell>
          <cell r="O154">
            <v>48.44</v>
          </cell>
          <cell r="P154">
            <v>259.96999999999997</v>
          </cell>
          <cell r="Q154">
            <v>58.33</v>
          </cell>
        </row>
        <row r="155">
          <cell r="L155" t="str">
            <v>21302</v>
          </cell>
          <cell r="M155">
            <v>11.56</v>
          </cell>
          <cell r="N155">
            <v>32.67</v>
          </cell>
          <cell r="O155">
            <v>366</v>
          </cell>
          <cell r="P155">
            <v>2906.33</v>
          </cell>
          <cell r="Q155">
            <v>410.23</v>
          </cell>
        </row>
        <row r="156">
          <cell r="L156" t="str">
            <v>21303</v>
          </cell>
          <cell r="M156">
            <v>1.1100000000000001</v>
          </cell>
          <cell r="N156">
            <v>4.22</v>
          </cell>
          <cell r="O156">
            <v>70.78</v>
          </cell>
          <cell r="P156">
            <v>385.65</v>
          </cell>
          <cell r="Q156">
            <v>76.11</v>
          </cell>
        </row>
        <row r="157">
          <cell r="L157" t="str">
            <v>21401</v>
          </cell>
          <cell r="M157">
            <v>34</v>
          </cell>
          <cell r="N157">
            <v>39.33</v>
          </cell>
          <cell r="O157">
            <v>546</v>
          </cell>
          <cell r="P157">
            <v>3473.1199999999994</v>
          </cell>
          <cell r="Q157">
            <v>619.33000000000004</v>
          </cell>
        </row>
        <row r="158">
          <cell r="L158" t="str">
            <v>22008</v>
          </cell>
          <cell r="M158">
            <v>0.11</v>
          </cell>
          <cell r="N158">
            <v>0.89</v>
          </cell>
          <cell r="O158">
            <v>11.22</v>
          </cell>
          <cell r="P158">
            <v>77.5</v>
          </cell>
          <cell r="Q158">
            <v>12.22</v>
          </cell>
        </row>
        <row r="159">
          <cell r="L159" t="str">
            <v>22009</v>
          </cell>
          <cell r="M159">
            <v>1.1100000000000001</v>
          </cell>
          <cell r="N159">
            <v>10</v>
          </cell>
          <cell r="O159">
            <v>58.78</v>
          </cell>
          <cell r="P159">
            <v>594.41999999999996</v>
          </cell>
          <cell r="Q159">
            <v>69.89</v>
          </cell>
        </row>
        <row r="160">
          <cell r="L160" t="str">
            <v>22017</v>
          </cell>
          <cell r="M160">
            <v>2</v>
          </cell>
          <cell r="N160">
            <v>2.44</v>
          </cell>
          <cell r="O160">
            <v>5.78</v>
          </cell>
          <cell r="P160">
            <v>82.34</v>
          </cell>
          <cell r="Q160">
            <v>10.219999999999999</v>
          </cell>
        </row>
        <row r="161">
          <cell r="L161" t="str">
            <v>22073</v>
          </cell>
          <cell r="M161">
            <v>0.22</v>
          </cell>
          <cell r="O161">
            <v>16.89</v>
          </cell>
          <cell r="P161">
            <v>93.94</v>
          </cell>
          <cell r="Q161">
            <v>17.11</v>
          </cell>
        </row>
        <row r="162">
          <cell r="L162" t="str">
            <v>22105</v>
          </cell>
          <cell r="M162">
            <v>0.11</v>
          </cell>
          <cell r="N162">
            <v>0.44</v>
          </cell>
          <cell r="O162">
            <v>33.78</v>
          </cell>
          <cell r="P162">
            <v>251.23000000000002</v>
          </cell>
          <cell r="Q162">
            <v>34.33</v>
          </cell>
        </row>
        <row r="163">
          <cell r="L163" t="str">
            <v>22200</v>
          </cell>
          <cell r="M163">
            <v>0.11</v>
          </cell>
          <cell r="N163">
            <v>0.67</v>
          </cell>
          <cell r="O163">
            <v>38.22</v>
          </cell>
          <cell r="P163">
            <v>243.49</v>
          </cell>
          <cell r="Q163">
            <v>39</v>
          </cell>
        </row>
        <row r="164">
          <cell r="L164" t="str">
            <v>22204</v>
          </cell>
          <cell r="N164">
            <v>1.33</v>
          </cell>
          <cell r="O164">
            <v>20.56</v>
          </cell>
          <cell r="P164">
            <v>123.61999999999999</v>
          </cell>
          <cell r="Q164">
            <v>21.89</v>
          </cell>
        </row>
        <row r="165">
          <cell r="L165" t="str">
            <v>22207</v>
          </cell>
          <cell r="M165">
            <v>4.1100000000000003</v>
          </cell>
          <cell r="N165">
            <v>6.56</v>
          </cell>
          <cell r="O165">
            <v>70.33</v>
          </cell>
          <cell r="P165">
            <v>555.70999999999992</v>
          </cell>
          <cell r="Q165">
            <v>81</v>
          </cell>
        </row>
        <row r="166">
          <cell r="L166" t="str">
            <v>23042</v>
          </cell>
          <cell r="M166">
            <v>0.33</v>
          </cell>
          <cell r="N166">
            <v>1</v>
          </cell>
          <cell r="O166">
            <v>29.44</v>
          </cell>
          <cell r="P166">
            <v>214.5</v>
          </cell>
          <cell r="Q166">
            <v>30.770000000000003</v>
          </cell>
        </row>
        <row r="167">
          <cell r="L167" t="str">
            <v>23054</v>
          </cell>
          <cell r="M167">
            <v>2</v>
          </cell>
          <cell r="N167">
            <v>1.1100000000000001</v>
          </cell>
          <cell r="O167">
            <v>25</v>
          </cell>
          <cell r="P167">
            <v>214.86</v>
          </cell>
          <cell r="Q167">
            <v>28.11</v>
          </cell>
        </row>
        <row r="168">
          <cell r="L168" t="str">
            <v>23309</v>
          </cell>
          <cell r="M168">
            <v>31.22</v>
          </cell>
          <cell r="N168">
            <v>110.44</v>
          </cell>
          <cell r="O168">
            <v>622.66999999999996</v>
          </cell>
          <cell r="P168">
            <v>4418.2000000000007</v>
          </cell>
          <cell r="Q168">
            <v>764.32999999999993</v>
          </cell>
        </row>
        <row r="169">
          <cell r="L169" t="str">
            <v>23311</v>
          </cell>
          <cell r="N169">
            <v>1.56</v>
          </cell>
          <cell r="O169">
            <v>270.89</v>
          </cell>
          <cell r="P169">
            <v>1722.89</v>
          </cell>
          <cell r="Q169">
            <v>272.45</v>
          </cell>
        </row>
        <row r="170">
          <cell r="L170" t="str">
            <v>23402</v>
          </cell>
          <cell r="M170">
            <v>13</v>
          </cell>
          <cell r="N170">
            <v>17.89</v>
          </cell>
          <cell r="O170">
            <v>100.78</v>
          </cell>
          <cell r="P170">
            <v>740.08</v>
          </cell>
          <cell r="Q170">
            <v>131.67000000000002</v>
          </cell>
        </row>
        <row r="171">
          <cell r="L171" t="str">
            <v>23403</v>
          </cell>
          <cell r="M171">
            <v>19</v>
          </cell>
          <cell r="N171">
            <v>46.89</v>
          </cell>
          <cell r="O171">
            <v>311.44</v>
          </cell>
          <cell r="P171">
            <v>2279.64</v>
          </cell>
          <cell r="Q171">
            <v>377.33</v>
          </cell>
        </row>
        <row r="172">
          <cell r="L172" t="str">
            <v>23404</v>
          </cell>
          <cell r="M172">
            <v>0.89</v>
          </cell>
          <cell r="N172">
            <v>6.44</v>
          </cell>
          <cell r="O172">
            <v>35.78</v>
          </cell>
          <cell r="P172">
            <v>295.43</v>
          </cell>
          <cell r="Q172">
            <v>43.11</v>
          </cell>
        </row>
        <row r="173">
          <cell r="L173" t="str">
            <v>24014</v>
          </cell>
          <cell r="M173">
            <v>3.78</v>
          </cell>
          <cell r="N173">
            <v>1.56</v>
          </cell>
          <cell r="O173">
            <v>32.89</v>
          </cell>
          <cell r="P173">
            <v>141</v>
          </cell>
          <cell r="Q173">
            <v>38.230000000000004</v>
          </cell>
        </row>
        <row r="174">
          <cell r="L174" t="str">
            <v>24019</v>
          </cell>
          <cell r="M174">
            <v>28.78</v>
          </cell>
          <cell r="N174">
            <v>38.33</v>
          </cell>
          <cell r="O174">
            <v>839.56</v>
          </cell>
          <cell r="P174">
            <v>5320.9800000000005</v>
          </cell>
          <cell r="Q174">
            <v>906.67</v>
          </cell>
        </row>
        <row r="175">
          <cell r="L175" t="str">
            <v>24105</v>
          </cell>
          <cell r="M175">
            <v>11.78</v>
          </cell>
          <cell r="N175">
            <v>14.67</v>
          </cell>
          <cell r="O175">
            <v>150.22</v>
          </cell>
          <cell r="P175">
            <v>1108.8799999999999</v>
          </cell>
          <cell r="Q175">
            <v>176.67</v>
          </cell>
        </row>
        <row r="176">
          <cell r="L176" t="str">
            <v>24111</v>
          </cell>
          <cell r="M176">
            <v>12.67</v>
          </cell>
          <cell r="N176">
            <v>12.89</v>
          </cell>
          <cell r="O176">
            <v>96.22</v>
          </cell>
          <cell r="P176">
            <v>955.86</v>
          </cell>
          <cell r="Q176">
            <v>121.78</v>
          </cell>
        </row>
        <row r="177">
          <cell r="L177" t="str">
            <v>24122</v>
          </cell>
          <cell r="M177">
            <v>4.5599999999999996</v>
          </cell>
          <cell r="N177">
            <v>0.78</v>
          </cell>
          <cell r="O177">
            <v>53.33</v>
          </cell>
          <cell r="P177">
            <v>308.61</v>
          </cell>
          <cell r="Q177">
            <v>58.67</v>
          </cell>
        </row>
        <row r="178">
          <cell r="L178" t="str">
            <v>24350</v>
          </cell>
          <cell r="M178">
            <v>3.44</v>
          </cell>
          <cell r="N178">
            <v>5.1100000000000003</v>
          </cell>
          <cell r="O178">
            <v>75.22</v>
          </cell>
          <cell r="P178">
            <v>691.61</v>
          </cell>
          <cell r="Q178">
            <v>83.77</v>
          </cell>
        </row>
        <row r="179">
          <cell r="L179" t="str">
            <v>24404</v>
          </cell>
          <cell r="M179">
            <v>8.67</v>
          </cell>
          <cell r="N179">
            <v>8.7799999999999994</v>
          </cell>
          <cell r="O179">
            <v>123.44</v>
          </cell>
          <cell r="P179">
            <v>1117.77</v>
          </cell>
          <cell r="Q179">
            <v>140.88999999999999</v>
          </cell>
        </row>
        <row r="180">
          <cell r="L180" t="str">
            <v>24410</v>
          </cell>
          <cell r="M180">
            <v>7</v>
          </cell>
          <cell r="N180">
            <v>7.78</v>
          </cell>
          <cell r="O180">
            <v>71.89</v>
          </cell>
          <cell r="P180">
            <v>550.02</v>
          </cell>
          <cell r="Q180">
            <v>86.67</v>
          </cell>
        </row>
        <row r="181">
          <cell r="L181" t="str">
            <v>25101</v>
          </cell>
          <cell r="M181">
            <v>8.89</v>
          </cell>
          <cell r="N181">
            <v>23.78</v>
          </cell>
          <cell r="O181">
            <v>214.22</v>
          </cell>
          <cell r="P181">
            <v>1025.25</v>
          </cell>
          <cell r="Q181">
            <v>246.89</v>
          </cell>
        </row>
        <row r="182">
          <cell r="L182" t="str">
            <v>25116</v>
          </cell>
          <cell r="N182">
            <v>6.56</v>
          </cell>
          <cell r="O182">
            <v>80.44</v>
          </cell>
          <cell r="P182">
            <v>536.63</v>
          </cell>
          <cell r="Q182">
            <v>87</v>
          </cell>
        </row>
        <row r="183">
          <cell r="L183" t="str">
            <v>25118</v>
          </cell>
          <cell r="M183">
            <v>15.89</v>
          </cell>
          <cell r="N183">
            <v>10.56</v>
          </cell>
          <cell r="O183">
            <v>73.22</v>
          </cell>
          <cell r="P183">
            <v>559.70000000000005</v>
          </cell>
          <cell r="Q183">
            <v>99.67</v>
          </cell>
        </row>
        <row r="184">
          <cell r="L184" t="str">
            <v>25155</v>
          </cell>
          <cell r="N184">
            <v>3.89</v>
          </cell>
          <cell r="O184">
            <v>43.22</v>
          </cell>
          <cell r="P184">
            <v>332.25</v>
          </cell>
          <cell r="Q184">
            <v>47.11</v>
          </cell>
        </row>
        <row r="185">
          <cell r="L185" t="str">
            <v>25160</v>
          </cell>
          <cell r="M185">
            <v>0.11</v>
          </cell>
          <cell r="N185">
            <v>5.1100000000000003</v>
          </cell>
          <cell r="O185">
            <v>46.44</v>
          </cell>
          <cell r="P185">
            <v>354.92</v>
          </cell>
          <cell r="Q185">
            <v>51.66</v>
          </cell>
        </row>
        <row r="186">
          <cell r="L186" t="str">
            <v>25200</v>
          </cell>
          <cell r="O186">
            <v>8.33</v>
          </cell>
          <cell r="P186">
            <v>66.42</v>
          </cell>
          <cell r="Q186">
            <v>8.33</v>
          </cell>
        </row>
        <row r="187">
          <cell r="L187" t="str">
            <v>26056</v>
          </cell>
          <cell r="M187">
            <v>4.5599999999999996</v>
          </cell>
          <cell r="N187">
            <v>14.22</v>
          </cell>
          <cell r="O187">
            <v>164.89</v>
          </cell>
          <cell r="P187">
            <v>1115.4100000000001</v>
          </cell>
          <cell r="Q187">
            <v>183.67</v>
          </cell>
        </row>
        <row r="188">
          <cell r="L188" t="str">
            <v>26059</v>
          </cell>
          <cell r="M188">
            <v>0.22</v>
          </cell>
          <cell r="N188">
            <v>1.44</v>
          </cell>
          <cell r="O188">
            <v>42.11</v>
          </cell>
          <cell r="P188">
            <v>247</v>
          </cell>
          <cell r="Q188">
            <v>43.769999999999996</v>
          </cell>
        </row>
        <row r="189">
          <cell r="L189" t="str">
            <v>26070</v>
          </cell>
          <cell r="N189">
            <v>7.33</v>
          </cell>
          <cell r="O189">
            <v>53.89</v>
          </cell>
          <cell r="P189">
            <v>266.55</v>
          </cell>
          <cell r="Q189">
            <v>61.22</v>
          </cell>
        </row>
        <row r="190">
          <cell r="L190" t="str">
            <v>27001</v>
          </cell>
          <cell r="M190">
            <v>32</v>
          </cell>
          <cell r="N190">
            <v>46.67</v>
          </cell>
          <cell r="O190">
            <v>368.44</v>
          </cell>
          <cell r="P190">
            <v>3248.7499999999995</v>
          </cell>
          <cell r="Q190">
            <v>447.11</v>
          </cell>
        </row>
        <row r="191">
          <cell r="L191" t="str">
            <v>27003</v>
          </cell>
          <cell r="M191">
            <v>122.33</v>
          </cell>
          <cell r="N191">
            <v>313.22000000000003</v>
          </cell>
          <cell r="O191">
            <v>2537.7800000000002</v>
          </cell>
          <cell r="P191">
            <v>22848.750000000007</v>
          </cell>
          <cell r="Q191">
            <v>2973.3300000000004</v>
          </cell>
        </row>
        <row r="192">
          <cell r="L192" t="str">
            <v>27010</v>
          </cell>
          <cell r="M192">
            <v>249.67</v>
          </cell>
          <cell r="N192">
            <v>412.89</v>
          </cell>
          <cell r="O192">
            <v>3955.1099999999997</v>
          </cell>
          <cell r="P192">
            <v>28431.82</v>
          </cell>
          <cell r="Q192">
            <v>4617.67</v>
          </cell>
        </row>
        <row r="193">
          <cell r="L193" t="str">
            <v>27019</v>
          </cell>
          <cell r="M193">
            <v>1.56</v>
          </cell>
          <cell r="N193">
            <v>1.33</v>
          </cell>
          <cell r="O193">
            <v>25.89</v>
          </cell>
          <cell r="P193">
            <v>177.18</v>
          </cell>
          <cell r="Q193">
            <v>28.78</v>
          </cell>
        </row>
        <row r="194">
          <cell r="L194" t="str">
            <v>27083</v>
          </cell>
          <cell r="M194">
            <v>30.22</v>
          </cell>
          <cell r="N194">
            <v>71.67</v>
          </cell>
          <cell r="O194">
            <v>535.89</v>
          </cell>
          <cell r="P194">
            <v>5699.19</v>
          </cell>
          <cell r="Q194">
            <v>637.78</v>
          </cell>
        </row>
        <row r="195">
          <cell r="L195" t="str">
            <v>27320</v>
          </cell>
          <cell r="M195">
            <v>48.67</v>
          </cell>
          <cell r="N195">
            <v>122.22</v>
          </cell>
          <cell r="O195">
            <v>1099.33</v>
          </cell>
          <cell r="P195">
            <v>9750.5300000000025</v>
          </cell>
          <cell r="Q195">
            <v>1270.2199999999998</v>
          </cell>
        </row>
        <row r="196">
          <cell r="L196" t="str">
            <v>27343</v>
          </cell>
          <cell r="M196">
            <v>7</v>
          </cell>
          <cell r="N196">
            <v>25</v>
          </cell>
          <cell r="O196">
            <v>183.11</v>
          </cell>
          <cell r="P196">
            <v>1476.89</v>
          </cell>
          <cell r="Q196">
            <v>215.11</v>
          </cell>
        </row>
        <row r="197">
          <cell r="L197" t="str">
            <v>27344</v>
          </cell>
          <cell r="M197">
            <v>16.11</v>
          </cell>
          <cell r="N197">
            <v>44.33</v>
          </cell>
          <cell r="O197">
            <v>369.44</v>
          </cell>
          <cell r="P197">
            <v>2726.6700000000005</v>
          </cell>
          <cell r="Q197">
            <v>429.88</v>
          </cell>
        </row>
        <row r="198">
          <cell r="L198" t="str">
            <v>27400</v>
          </cell>
          <cell r="M198">
            <v>194.44</v>
          </cell>
          <cell r="N198">
            <v>254.11</v>
          </cell>
          <cell r="O198">
            <v>1758</v>
          </cell>
          <cell r="P198">
            <v>12643.24</v>
          </cell>
          <cell r="Q198">
            <v>2206.5500000000002</v>
          </cell>
        </row>
        <row r="199">
          <cell r="L199" t="str">
            <v>27401</v>
          </cell>
          <cell r="M199">
            <v>52.11</v>
          </cell>
          <cell r="N199">
            <v>172.55</v>
          </cell>
          <cell r="O199">
            <v>1130.44</v>
          </cell>
          <cell r="P199">
            <v>9132.0700000000015</v>
          </cell>
          <cell r="Q199">
            <v>1355.1000000000001</v>
          </cell>
        </row>
        <row r="200">
          <cell r="L200" t="str">
            <v>27402</v>
          </cell>
          <cell r="M200">
            <v>63.67</v>
          </cell>
          <cell r="N200">
            <v>156</v>
          </cell>
          <cell r="O200">
            <v>1017.4499999999999</v>
          </cell>
          <cell r="P200">
            <v>7894.4500000000007</v>
          </cell>
          <cell r="Q200">
            <v>1237.1199999999999</v>
          </cell>
        </row>
        <row r="201">
          <cell r="L201" t="str">
            <v>27403</v>
          </cell>
          <cell r="M201">
            <v>151.22</v>
          </cell>
          <cell r="N201">
            <v>253.10999999999999</v>
          </cell>
          <cell r="O201">
            <v>2480.66</v>
          </cell>
          <cell r="P201">
            <v>19726.660000000003</v>
          </cell>
          <cell r="Q201">
            <v>2884.99</v>
          </cell>
        </row>
        <row r="202">
          <cell r="L202" t="str">
            <v>27404</v>
          </cell>
          <cell r="M202">
            <v>9.11</v>
          </cell>
          <cell r="N202">
            <v>16.89</v>
          </cell>
          <cell r="O202">
            <v>203.22</v>
          </cell>
          <cell r="P202">
            <v>1944.8899999999996</v>
          </cell>
          <cell r="Q202">
            <v>229.22</v>
          </cell>
        </row>
        <row r="203">
          <cell r="L203" t="str">
            <v>27416</v>
          </cell>
          <cell r="M203">
            <v>13.78</v>
          </cell>
          <cell r="N203">
            <v>52.33</v>
          </cell>
          <cell r="O203">
            <v>492.33</v>
          </cell>
          <cell r="P203">
            <v>3929.2099999999996</v>
          </cell>
          <cell r="Q203">
            <v>558.43999999999994</v>
          </cell>
        </row>
        <row r="204">
          <cell r="L204" t="str">
            <v>27417</v>
          </cell>
          <cell r="M204">
            <v>22.44</v>
          </cell>
          <cell r="N204">
            <v>59</v>
          </cell>
          <cell r="O204">
            <v>384.56</v>
          </cell>
          <cell r="P204">
            <v>3789.88</v>
          </cell>
          <cell r="Q204">
            <v>466</v>
          </cell>
        </row>
        <row r="205">
          <cell r="L205" t="str">
            <v>27901</v>
          </cell>
          <cell r="P205">
            <v>602.38000000000011</v>
          </cell>
          <cell r="Q205">
            <v>0</v>
          </cell>
        </row>
        <row r="206">
          <cell r="L206" t="str">
            <v>27904</v>
          </cell>
          <cell r="O206">
            <v>30.22</v>
          </cell>
          <cell r="P206">
            <v>154.69999999999999</v>
          </cell>
          <cell r="Q206">
            <v>30.22</v>
          </cell>
        </row>
        <row r="207">
          <cell r="L207" t="str">
            <v>27905</v>
          </cell>
          <cell r="O207">
            <v>39.33</v>
          </cell>
          <cell r="P207">
            <v>187.88</v>
          </cell>
          <cell r="Q207">
            <v>39.33</v>
          </cell>
        </row>
        <row r="208">
          <cell r="L208" t="str">
            <v>27909</v>
          </cell>
          <cell r="O208">
            <v>34.56</v>
          </cell>
          <cell r="P208">
            <v>188</v>
          </cell>
          <cell r="Q208">
            <v>34.56</v>
          </cell>
        </row>
        <row r="209">
          <cell r="L209" t="str">
            <v>28010</v>
          </cell>
          <cell r="P209">
            <v>8.3000000000000007</v>
          </cell>
          <cell r="Q209">
            <v>0</v>
          </cell>
        </row>
        <row r="210">
          <cell r="L210" t="str">
            <v>28137</v>
          </cell>
          <cell r="M210">
            <v>8</v>
          </cell>
          <cell r="N210">
            <v>4.4400000000000004</v>
          </cell>
          <cell r="O210">
            <v>90.67</v>
          </cell>
          <cell r="P210">
            <v>806.38</v>
          </cell>
          <cell r="Q210">
            <v>103.11</v>
          </cell>
        </row>
        <row r="211">
          <cell r="L211" t="str">
            <v>28144</v>
          </cell>
          <cell r="M211">
            <v>0.56000000000000005</v>
          </cell>
          <cell r="N211">
            <v>5.33</v>
          </cell>
          <cell r="O211">
            <v>39.78</v>
          </cell>
          <cell r="P211">
            <v>228.52</v>
          </cell>
          <cell r="Q211">
            <v>45.67</v>
          </cell>
        </row>
        <row r="212">
          <cell r="L212" t="str">
            <v>28149</v>
          </cell>
          <cell r="M212">
            <v>7.44</v>
          </cell>
          <cell r="N212">
            <v>8.67</v>
          </cell>
          <cell r="O212">
            <v>110.89</v>
          </cell>
          <cell r="P212">
            <v>767.49</v>
          </cell>
          <cell r="Q212">
            <v>127</v>
          </cell>
        </row>
        <row r="213">
          <cell r="L213" t="str">
            <v>29011</v>
          </cell>
          <cell r="M213">
            <v>1.67</v>
          </cell>
          <cell r="N213">
            <v>10</v>
          </cell>
          <cell r="O213">
            <v>84.22</v>
          </cell>
          <cell r="P213">
            <v>502.91999999999996</v>
          </cell>
          <cell r="Q213">
            <v>95.89</v>
          </cell>
        </row>
        <row r="214">
          <cell r="L214" t="str">
            <v>29100</v>
          </cell>
          <cell r="M214">
            <v>10.33</v>
          </cell>
          <cell r="N214">
            <v>55.78</v>
          </cell>
          <cell r="O214">
            <v>476.55</v>
          </cell>
          <cell r="P214">
            <v>3476.39</v>
          </cell>
          <cell r="Q214">
            <v>542.66</v>
          </cell>
        </row>
        <row r="215">
          <cell r="L215" t="str">
            <v>29101</v>
          </cell>
          <cell r="M215">
            <v>32.22</v>
          </cell>
          <cell r="N215">
            <v>77.22</v>
          </cell>
          <cell r="O215">
            <v>739.22</v>
          </cell>
          <cell r="P215">
            <v>4550.83</v>
          </cell>
          <cell r="Q215">
            <v>848.66000000000008</v>
          </cell>
        </row>
        <row r="216">
          <cell r="L216" t="str">
            <v>29103</v>
          </cell>
          <cell r="M216">
            <v>25.33</v>
          </cell>
          <cell r="N216">
            <v>52.67</v>
          </cell>
          <cell r="O216">
            <v>276.22000000000003</v>
          </cell>
          <cell r="P216">
            <v>2689.93</v>
          </cell>
          <cell r="Q216">
            <v>354.22</v>
          </cell>
        </row>
        <row r="217">
          <cell r="L217" t="str">
            <v>29311</v>
          </cell>
          <cell r="M217">
            <v>1.22</v>
          </cell>
          <cell r="N217">
            <v>4.78</v>
          </cell>
          <cell r="O217">
            <v>89.67</v>
          </cell>
          <cell r="P217">
            <v>606.66</v>
          </cell>
          <cell r="Q217">
            <v>95.67</v>
          </cell>
        </row>
        <row r="218">
          <cell r="L218" t="str">
            <v>29317</v>
          </cell>
          <cell r="M218">
            <v>0.11</v>
          </cell>
          <cell r="N218">
            <v>4.8899999999999997</v>
          </cell>
          <cell r="O218">
            <v>45.22</v>
          </cell>
          <cell r="P218">
            <v>442.13</v>
          </cell>
          <cell r="Q218">
            <v>50.22</v>
          </cell>
        </row>
        <row r="219">
          <cell r="L219" t="str">
            <v>29320</v>
          </cell>
          <cell r="M219">
            <v>32.11</v>
          </cell>
          <cell r="N219">
            <v>107.22</v>
          </cell>
          <cell r="O219">
            <v>847.78</v>
          </cell>
          <cell r="P219">
            <v>6677.6500000000005</v>
          </cell>
          <cell r="Q219">
            <v>987.1099999999999</v>
          </cell>
        </row>
        <row r="220">
          <cell r="L220" t="str">
            <v>30002</v>
          </cell>
          <cell r="N220">
            <v>0.78</v>
          </cell>
          <cell r="O220">
            <v>15</v>
          </cell>
          <cell r="P220">
            <v>82.73</v>
          </cell>
          <cell r="Q220">
            <v>15.78</v>
          </cell>
        </row>
        <row r="221">
          <cell r="L221" t="str">
            <v>30029</v>
          </cell>
          <cell r="O221">
            <v>8.89</v>
          </cell>
          <cell r="P221">
            <v>63.5</v>
          </cell>
          <cell r="Q221">
            <v>8.89</v>
          </cell>
        </row>
        <row r="222">
          <cell r="L222" t="str">
            <v>30031</v>
          </cell>
          <cell r="M222">
            <v>0.89</v>
          </cell>
          <cell r="N222">
            <v>1.22</v>
          </cell>
          <cell r="O222">
            <v>8</v>
          </cell>
          <cell r="P222">
            <v>43.22</v>
          </cell>
          <cell r="Q222">
            <v>10.11</v>
          </cell>
        </row>
        <row r="223">
          <cell r="L223" t="str">
            <v>30303</v>
          </cell>
          <cell r="M223">
            <v>6.33</v>
          </cell>
          <cell r="N223">
            <v>20.329999999999998</v>
          </cell>
          <cell r="O223">
            <v>138.66999999999999</v>
          </cell>
          <cell r="P223">
            <v>906.62</v>
          </cell>
          <cell r="Q223">
            <v>165.32999999999998</v>
          </cell>
        </row>
        <row r="224">
          <cell r="L224" t="str">
            <v>31002</v>
          </cell>
          <cell r="M224">
            <v>205.33</v>
          </cell>
          <cell r="N224">
            <v>197.45</v>
          </cell>
          <cell r="O224">
            <v>2511.11</v>
          </cell>
          <cell r="P224">
            <v>20179.370000000003</v>
          </cell>
          <cell r="Q224">
            <v>2913.8900000000003</v>
          </cell>
        </row>
        <row r="225">
          <cell r="L225" t="str">
            <v>31004</v>
          </cell>
          <cell r="M225">
            <v>95.78</v>
          </cell>
          <cell r="N225">
            <v>154.88999999999999</v>
          </cell>
          <cell r="O225">
            <v>1341.44</v>
          </cell>
          <cell r="P225">
            <v>8916.64</v>
          </cell>
          <cell r="Q225">
            <v>1592.1100000000001</v>
          </cell>
        </row>
        <row r="226">
          <cell r="L226" t="str">
            <v>31006</v>
          </cell>
          <cell r="M226">
            <v>156.88999999999999</v>
          </cell>
          <cell r="N226">
            <v>195.56</v>
          </cell>
          <cell r="O226">
            <v>2038.67</v>
          </cell>
          <cell r="P226">
            <v>15328.650000000001</v>
          </cell>
          <cell r="Q226">
            <v>2391.12</v>
          </cell>
        </row>
        <row r="227">
          <cell r="L227" t="str">
            <v>31015</v>
          </cell>
          <cell r="M227">
            <v>239.11</v>
          </cell>
          <cell r="N227">
            <v>301.44</v>
          </cell>
          <cell r="O227">
            <v>2758</v>
          </cell>
          <cell r="P227">
            <v>20588.54</v>
          </cell>
          <cell r="Q227">
            <v>3298.55</v>
          </cell>
        </row>
        <row r="228">
          <cell r="L228" t="str">
            <v>31016</v>
          </cell>
          <cell r="M228">
            <v>41.33</v>
          </cell>
          <cell r="N228">
            <v>71.11</v>
          </cell>
          <cell r="O228">
            <v>717.33</v>
          </cell>
          <cell r="P228">
            <v>5614.2400000000007</v>
          </cell>
          <cell r="Q228">
            <v>829.77</v>
          </cell>
        </row>
        <row r="229">
          <cell r="L229" t="str">
            <v>31025</v>
          </cell>
          <cell r="M229">
            <v>107.89</v>
          </cell>
          <cell r="N229">
            <v>178.67</v>
          </cell>
          <cell r="O229">
            <v>1572.56</v>
          </cell>
          <cell r="P229">
            <v>10596.1</v>
          </cell>
          <cell r="Q229">
            <v>1859.12</v>
          </cell>
        </row>
        <row r="230">
          <cell r="L230" t="str">
            <v>31063</v>
          </cell>
          <cell r="N230">
            <v>1.56</v>
          </cell>
          <cell r="O230">
            <v>3.89</v>
          </cell>
          <cell r="P230">
            <v>28.39</v>
          </cell>
          <cell r="Q230">
            <v>5.45</v>
          </cell>
        </row>
        <row r="231">
          <cell r="L231" t="str">
            <v>31103</v>
          </cell>
          <cell r="M231">
            <v>43.89</v>
          </cell>
          <cell r="N231">
            <v>75.11</v>
          </cell>
          <cell r="O231">
            <v>731</v>
          </cell>
          <cell r="P231">
            <v>6643.0499999999993</v>
          </cell>
          <cell r="Q231">
            <v>850</v>
          </cell>
        </row>
        <row r="232">
          <cell r="L232" t="str">
            <v>31201</v>
          </cell>
          <cell r="M232">
            <v>63.33</v>
          </cell>
          <cell r="N232">
            <v>88.22</v>
          </cell>
          <cell r="O232">
            <v>1192.6600000000001</v>
          </cell>
          <cell r="P232">
            <v>9854.2599999999984</v>
          </cell>
          <cell r="Q232">
            <v>1344.21</v>
          </cell>
        </row>
        <row r="233">
          <cell r="L233" t="str">
            <v>31306</v>
          </cell>
          <cell r="M233">
            <v>24.11</v>
          </cell>
          <cell r="N233">
            <v>24.33</v>
          </cell>
          <cell r="O233">
            <v>355.56</v>
          </cell>
          <cell r="P233">
            <v>2429.52</v>
          </cell>
          <cell r="Q233">
            <v>404</v>
          </cell>
        </row>
        <row r="234">
          <cell r="L234" t="str">
            <v>31311</v>
          </cell>
          <cell r="M234">
            <v>21.89</v>
          </cell>
          <cell r="N234">
            <v>26</v>
          </cell>
          <cell r="O234">
            <v>304.56</v>
          </cell>
          <cell r="P234">
            <v>1877.3200000000002</v>
          </cell>
          <cell r="Q234">
            <v>352.45</v>
          </cell>
        </row>
        <row r="235">
          <cell r="L235" t="str">
            <v>31330</v>
          </cell>
          <cell r="M235">
            <v>3.67</v>
          </cell>
          <cell r="N235">
            <v>3.11</v>
          </cell>
          <cell r="O235">
            <v>71.33</v>
          </cell>
          <cell r="P235">
            <v>409.35999999999996</v>
          </cell>
          <cell r="Q235">
            <v>78.11</v>
          </cell>
        </row>
        <row r="236">
          <cell r="L236" t="str">
            <v>31332</v>
          </cell>
          <cell r="M236">
            <v>25.67</v>
          </cell>
          <cell r="N236">
            <v>30.11</v>
          </cell>
          <cell r="O236">
            <v>344.89</v>
          </cell>
          <cell r="P236">
            <v>1972.3</v>
          </cell>
          <cell r="Q236">
            <v>400.66999999999996</v>
          </cell>
        </row>
        <row r="237">
          <cell r="L237" t="str">
            <v>31401</v>
          </cell>
          <cell r="M237">
            <v>28.56</v>
          </cell>
          <cell r="N237">
            <v>65.56</v>
          </cell>
          <cell r="O237">
            <v>612.78</v>
          </cell>
          <cell r="P237">
            <v>4579.8499999999995</v>
          </cell>
          <cell r="Q237">
            <v>706.9</v>
          </cell>
        </row>
        <row r="238">
          <cell r="L238" t="str">
            <v>32081</v>
          </cell>
          <cell r="M238">
            <v>515.66999999999996</v>
          </cell>
          <cell r="N238">
            <v>340.89</v>
          </cell>
          <cell r="O238">
            <v>4611</v>
          </cell>
          <cell r="P238">
            <v>29854.9</v>
          </cell>
          <cell r="Q238">
            <v>5467.5599999999995</v>
          </cell>
        </row>
        <row r="239">
          <cell r="L239" t="str">
            <v>32123</v>
          </cell>
          <cell r="M239">
            <v>2</v>
          </cell>
          <cell r="O239">
            <v>6</v>
          </cell>
          <cell r="P239">
            <v>76.8</v>
          </cell>
          <cell r="Q239">
            <v>8</v>
          </cell>
        </row>
        <row r="240">
          <cell r="L240" t="str">
            <v>32312</v>
          </cell>
          <cell r="N240">
            <v>0.11</v>
          </cell>
          <cell r="O240">
            <v>6.78</v>
          </cell>
          <cell r="P240">
            <v>38.4</v>
          </cell>
          <cell r="Q240">
            <v>6.8900000000000006</v>
          </cell>
        </row>
        <row r="241">
          <cell r="L241" t="str">
            <v>32325</v>
          </cell>
          <cell r="M241">
            <v>4.5599999999999996</v>
          </cell>
          <cell r="N241">
            <v>12.11</v>
          </cell>
          <cell r="O241">
            <v>184.56</v>
          </cell>
          <cell r="P241">
            <v>1402.64</v>
          </cell>
          <cell r="Q241">
            <v>201.23</v>
          </cell>
        </row>
        <row r="242">
          <cell r="L242" t="str">
            <v>32326</v>
          </cell>
          <cell r="M242">
            <v>32.11</v>
          </cell>
          <cell r="N242">
            <v>25</v>
          </cell>
          <cell r="O242">
            <v>198.78</v>
          </cell>
          <cell r="P242">
            <v>1834.13</v>
          </cell>
          <cell r="Q242">
            <v>255.89</v>
          </cell>
        </row>
        <row r="243">
          <cell r="L243" t="str">
            <v>32354</v>
          </cell>
          <cell r="M243">
            <v>90.56</v>
          </cell>
          <cell r="N243">
            <v>94.67</v>
          </cell>
          <cell r="O243">
            <v>1326.56</v>
          </cell>
          <cell r="P243">
            <v>10543.15</v>
          </cell>
          <cell r="Q243">
            <v>1511.79</v>
          </cell>
        </row>
        <row r="244">
          <cell r="L244" t="str">
            <v>32356</v>
          </cell>
          <cell r="M244">
            <v>221.22</v>
          </cell>
          <cell r="N244">
            <v>190</v>
          </cell>
          <cell r="O244">
            <v>1881</v>
          </cell>
          <cell r="P244">
            <v>14120.529999999997</v>
          </cell>
          <cell r="Q244">
            <v>2292.2200000000003</v>
          </cell>
        </row>
        <row r="245">
          <cell r="L245" t="str">
            <v>32358</v>
          </cell>
          <cell r="N245">
            <v>7</v>
          </cell>
          <cell r="O245">
            <v>97</v>
          </cell>
          <cell r="P245">
            <v>899.67000000000007</v>
          </cell>
          <cell r="Q245">
            <v>104</v>
          </cell>
        </row>
        <row r="246">
          <cell r="L246" t="str">
            <v>32360</v>
          </cell>
          <cell r="M246">
            <v>76.11</v>
          </cell>
          <cell r="N246">
            <v>87.78</v>
          </cell>
          <cell r="O246">
            <v>821.11</v>
          </cell>
          <cell r="P246">
            <v>4908.01</v>
          </cell>
          <cell r="Q246">
            <v>985</v>
          </cell>
        </row>
        <row r="247">
          <cell r="L247" t="str">
            <v>32361</v>
          </cell>
          <cell r="M247">
            <v>40.11</v>
          </cell>
          <cell r="N247">
            <v>61</v>
          </cell>
          <cell r="O247">
            <v>582.22</v>
          </cell>
          <cell r="P247">
            <v>4104.22</v>
          </cell>
          <cell r="Q247">
            <v>683.33</v>
          </cell>
        </row>
        <row r="248">
          <cell r="L248" t="str">
            <v>32362</v>
          </cell>
          <cell r="M248">
            <v>8.33</v>
          </cell>
          <cell r="N248">
            <v>6.67</v>
          </cell>
          <cell r="O248">
            <v>51.11</v>
          </cell>
          <cell r="P248">
            <v>511.66999999999996</v>
          </cell>
          <cell r="Q248">
            <v>66.11</v>
          </cell>
        </row>
        <row r="249">
          <cell r="L249" t="str">
            <v>32363</v>
          </cell>
          <cell r="M249">
            <v>35.89</v>
          </cell>
          <cell r="N249">
            <v>41.89</v>
          </cell>
          <cell r="O249">
            <v>467.22</v>
          </cell>
          <cell r="P249">
            <v>3437.7</v>
          </cell>
          <cell r="Q249">
            <v>545</v>
          </cell>
        </row>
        <row r="250">
          <cell r="L250" t="str">
            <v>32414</v>
          </cell>
          <cell r="M250">
            <v>14.67</v>
          </cell>
          <cell r="N250">
            <v>30.11</v>
          </cell>
          <cell r="O250">
            <v>286.33</v>
          </cell>
          <cell r="P250">
            <v>2526.5</v>
          </cell>
          <cell r="Q250">
            <v>331.11</v>
          </cell>
        </row>
        <row r="251">
          <cell r="L251" t="str">
            <v>32416</v>
          </cell>
          <cell r="M251">
            <v>21.11</v>
          </cell>
          <cell r="N251">
            <v>22.44</v>
          </cell>
          <cell r="O251">
            <v>215</v>
          </cell>
          <cell r="P251">
            <v>1365.98</v>
          </cell>
          <cell r="Q251">
            <v>258.55</v>
          </cell>
        </row>
        <row r="252">
          <cell r="L252" t="str">
            <v>32901</v>
          </cell>
          <cell r="O252">
            <v>57.56</v>
          </cell>
          <cell r="P252">
            <v>487.9</v>
          </cell>
          <cell r="Q252">
            <v>57.56</v>
          </cell>
        </row>
        <row r="253">
          <cell r="L253" t="str">
            <v>32907</v>
          </cell>
          <cell r="O253">
            <v>82.22</v>
          </cell>
          <cell r="P253">
            <v>490.52</v>
          </cell>
          <cell r="Q253">
            <v>82.22</v>
          </cell>
        </row>
        <row r="254">
          <cell r="L254" t="str">
            <v>33030</v>
          </cell>
          <cell r="O254">
            <v>5.1100000000000003</v>
          </cell>
          <cell r="P254">
            <v>39.020000000000003</v>
          </cell>
          <cell r="Q254">
            <v>5.1100000000000003</v>
          </cell>
        </row>
        <row r="255">
          <cell r="L255" t="str">
            <v>33036</v>
          </cell>
          <cell r="M255">
            <v>1</v>
          </cell>
          <cell r="N255">
            <v>8</v>
          </cell>
          <cell r="O255">
            <v>106.78</v>
          </cell>
          <cell r="P255">
            <v>797.03</v>
          </cell>
          <cell r="Q255">
            <v>115.78</v>
          </cell>
        </row>
        <row r="256">
          <cell r="L256" t="str">
            <v>33049</v>
          </cell>
          <cell r="M256">
            <v>2.33</v>
          </cell>
          <cell r="N256">
            <v>6.22</v>
          </cell>
          <cell r="O256">
            <v>60.78</v>
          </cell>
          <cell r="P256">
            <v>433.5</v>
          </cell>
          <cell r="Q256">
            <v>69.33</v>
          </cell>
        </row>
        <row r="257">
          <cell r="L257" t="str">
            <v>33070</v>
          </cell>
          <cell r="N257">
            <v>4</v>
          </cell>
          <cell r="O257">
            <v>92</v>
          </cell>
          <cell r="P257">
            <v>924.98</v>
          </cell>
          <cell r="Q257">
            <v>96</v>
          </cell>
        </row>
        <row r="258">
          <cell r="L258" t="str">
            <v>33115</v>
          </cell>
          <cell r="M258">
            <v>8.33</v>
          </cell>
          <cell r="N258">
            <v>39.78</v>
          </cell>
          <cell r="O258">
            <v>279.44</v>
          </cell>
          <cell r="P258">
            <v>1808.7200000000003</v>
          </cell>
          <cell r="Q258">
            <v>327.55</v>
          </cell>
        </row>
        <row r="259">
          <cell r="L259" t="str">
            <v>33183</v>
          </cell>
          <cell r="M259">
            <v>1</v>
          </cell>
          <cell r="O259">
            <v>17.329999999999998</v>
          </cell>
          <cell r="P259">
            <v>219.4</v>
          </cell>
          <cell r="Q259">
            <v>18.329999999999998</v>
          </cell>
        </row>
        <row r="260">
          <cell r="L260" t="str">
            <v>33202</v>
          </cell>
          <cell r="O260">
            <v>6.44</v>
          </cell>
          <cell r="P260">
            <v>78.900000000000006</v>
          </cell>
          <cell r="Q260">
            <v>6.44</v>
          </cell>
        </row>
        <row r="261">
          <cell r="L261" t="str">
            <v>33205</v>
          </cell>
          <cell r="O261">
            <v>2.89</v>
          </cell>
          <cell r="P261">
            <v>34.6</v>
          </cell>
          <cell r="Q261">
            <v>2.89</v>
          </cell>
        </row>
        <row r="262">
          <cell r="L262" t="str">
            <v>33206</v>
          </cell>
          <cell r="N262">
            <v>1</v>
          </cell>
          <cell r="O262">
            <v>27.11</v>
          </cell>
          <cell r="P262">
            <v>126.68</v>
          </cell>
          <cell r="Q262">
            <v>28.11</v>
          </cell>
        </row>
        <row r="263">
          <cell r="L263" t="str">
            <v>33207</v>
          </cell>
          <cell r="N263">
            <v>3.22</v>
          </cell>
          <cell r="O263">
            <v>67.11</v>
          </cell>
          <cell r="P263">
            <v>460.33</v>
          </cell>
          <cell r="Q263">
            <v>70.33</v>
          </cell>
        </row>
        <row r="264">
          <cell r="L264" t="str">
            <v>33211</v>
          </cell>
          <cell r="N264">
            <v>2.33</v>
          </cell>
          <cell r="O264">
            <v>25.33</v>
          </cell>
          <cell r="P264">
            <v>222.47</v>
          </cell>
          <cell r="Q264">
            <v>27.659999999999997</v>
          </cell>
        </row>
        <row r="265">
          <cell r="L265" t="str">
            <v>33212</v>
          </cell>
          <cell r="M265">
            <v>1.33</v>
          </cell>
          <cell r="N265">
            <v>7.78</v>
          </cell>
          <cell r="O265">
            <v>133.33000000000001</v>
          </cell>
          <cell r="P265">
            <v>1018.13</v>
          </cell>
          <cell r="Q265">
            <v>142.44</v>
          </cell>
        </row>
        <row r="266">
          <cell r="L266" t="str">
            <v>34002</v>
          </cell>
          <cell r="M266">
            <v>38.11</v>
          </cell>
          <cell r="N266">
            <v>70.88</v>
          </cell>
          <cell r="O266">
            <v>731.44</v>
          </cell>
          <cell r="P266">
            <v>5663.0999999999995</v>
          </cell>
          <cell r="Q266">
            <v>840.43000000000006</v>
          </cell>
        </row>
        <row r="267">
          <cell r="L267" t="str">
            <v>34003</v>
          </cell>
          <cell r="M267">
            <v>121.33</v>
          </cell>
          <cell r="N267">
            <v>204.22</v>
          </cell>
          <cell r="O267">
            <v>1944.22</v>
          </cell>
          <cell r="P267">
            <v>14970.789999999999</v>
          </cell>
          <cell r="Q267">
            <v>2269.77</v>
          </cell>
        </row>
        <row r="268">
          <cell r="L268" t="str">
            <v>34033</v>
          </cell>
          <cell r="M268">
            <v>46.56</v>
          </cell>
          <cell r="N268">
            <v>68.56</v>
          </cell>
          <cell r="O268">
            <v>804.44</v>
          </cell>
          <cell r="P268">
            <v>6540.75</v>
          </cell>
          <cell r="Q268">
            <v>919.56000000000006</v>
          </cell>
        </row>
        <row r="269">
          <cell r="L269" t="str">
            <v>34111</v>
          </cell>
          <cell r="M269">
            <v>63.33</v>
          </cell>
          <cell r="N269">
            <v>137.56</v>
          </cell>
          <cell r="O269">
            <v>1345.22</v>
          </cell>
          <cell r="P269">
            <v>10001.42</v>
          </cell>
          <cell r="Q269">
            <v>1546.1100000000001</v>
          </cell>
        </row>
        <row r="270">
          <cell r="L270" t="str">
            <v>34307</v>
          </cell>
          <cell r="M270">
            <v>6.56</v>
          </cell>
          <cell r="N270">
            <v>13.89</v>
          </cell>
          <cell r="O270">
            <v>116.78</v>
          </cell>
          <cell r="P270">
            <v>851.43999999999994</v>
          </cell>
          <cell r="Q270">
            <v>137.22999999999999</v>
          </cell>
        </row>
        <row r="271">
          <cell r="L271" t="str">
            <v>34324</v>
          </cell>
          <cell r="M271">
            <v>2.33</v>
          </cell>
          <cell r="N271">
            <v>14.89</v>
          </cell>
          <cell r="O271">
            <v>88.56</v>
          </cell>
          <cell r="P271">
            <v>630.26</v>
          </cell>
          <cell r="Q271">
            <v>105.78</v>
          </cell>
        </row>
        <row r="272">
          <cell r="L272" t="str">
            <v>34401</v>
          </cell>
          <cell r="M272">
            <v>16.78</v>
          </cell>
          <cell r="N272">
            <v>24.22</v>
          </cell>
          <cell r="O272">
            <v>315.77999999999997</v>
          </cell>
          <cell r="P272">
            <v>2286.2999999999997</v>
          </cell>
          <cell r="Q272">
            <v>356.78</v>
          </cell>
        </row>
        <row r="273">
          <cell r="L273" t="str">
            <v>34402</v>
          </cell>
          <cell r="M273">
            <v>4.67</v>
          </cell>
          <cell r="N273">
            <v>22.22</v>
          </cell>
          <cell r="O273">
            <v>165.11</v>
          </cell>
          <cell r="P273">
            <v>1276.82</v>
          </cell>
          <cell r="Q273">
            <v>192</v>
          </cell>
        </row>
        <row r="274">
          <cell r="L274" t="str">
            <v>34901</v>
          </cell>
          <cell r="P274">
            <v>129.4</v>
          </cell>
          <cell r="Q274">
            <v>0</v>
          </cell>
        </row>
        <row r="275">
          <cell r="L275" t="str">
            <v>35200</v>
          </cell>
          <cell r="M275">
            <v>4.5599999999999996</v>
          </cell>
          <cell r="N275">
            <v>2.56</v>
          </cell>
          <cell r="O275">
            <v>93.67</v>
          </cell>
          <cell r="P275">
            <v>505.81</v>
          </cell>
          <cell r="Q275">
            <v>100.79</v>
          </cell>
        </row>
        <row r="276">
          <cell r="L276" t="str">
            <v>36101</v>
          </cell>
          <cell r="O276">
            <v>3.89</v>
          </cell>
          <cell r="P276">
            <v>14.3</v>
          </cell>
          <cell r="Q276">
            <v>3.89</v>
          </cell>
        </row>
        <row r="277">
          <cell r="L277" t="str">
            <v>36140</v>
          </cell>
          <cell r="M277">
            <v>43.67</v>
          </cell>
          <cell r="N277">
            <v>62.66</v>
          </cell>
          <cell r="O277">
            <v>790.22</v>
          </cell>
          <cell r="P277">
            <v>5668.96</v>
          </cell>
          <cell r="Q277">
            <v>896.55000000000007</v>
          </cell>
        </row>
        <row r="278">
          <cell r="L278" t="str">
            <v>36250</v>
          </cell>
          <cell r="M278">
            <v>21.67</v>
          </cell>
          <cell r="N278">
            <v>18.559999999999999</v>
          </cell>
          <cell r="O278">
            <v>171.56</v>
          </cell>
          <cell r="P278">
            <v>1457.61</v>
          </cell>
          <cell r="Q278">
            <v>211.79000000000002</v>
          </cell>
        </row>
        <row r="279">
          <cell r="L279" t="str">
            <v>36300</v>
          </cell>
          <cell r="M279">
            <v>0.44</v>
          </cell>
          <cell r="N279">
            <v>4</v>
          </cell>
          <cell r="O279">
            <v>25.67</v>
          </cell>
          <cell r="P279">
            <v>215.98000000000002</v>
          </cell>
          <cell r="Q279">
            <v>30.110000000000003</v>
          </cell>
        </row>
        <row r="280">
          <cell r="L280" t="str">
            <v>36400</v>
          </cell>
          <cell r="M280">
            <v>2.78</v>
          </cell>
          <cell r="N280">
            <v>12.11</v>
          </cell>
          <cell r="O280">
            <v>106.88</v>
          </cell>
          <cell r="P280">
            <v>755.31</v>
          </cell>
          <cell r="Q280">
            <v>121.77</v>
          </cell>
        </row>
        <row r="281">
          <cell r="L281" t="str">
            <v>36401</v>
          </cell>
          <cell r="M281">
            <v>0.78</v>
          </cell>
          <cell r="N281">
            <v>0.33</v>
          </cell>
          <cell r="O281">
            <v>31.78</v>
          </cell>
          <cell r="P281">
            <v>283.82000000000005</v>
          </cell>
          <cell r="Q281">
            <v>32.89</v>
          </cell>
        </row>
        <row r="282">
          <cell r="L282" t="str">
            <v>36402</v>
          </cell>
          <cell r="M282">
            <v>2.44</v>
          </cell>
          <cell r="N282">
            <v>2.89</v>
          </cell>
          <cell r="O282">
            <v>23.22</v>
          </cell>
          <cell r="P282">
            <v>251.81</v>
          </cell>
          <cell r="Q282">
            <v>28.549999999999997</v>
          </cell>
        </row>
        <row r="283">
          <cell r="L283" t="str">
            <v>36901</v>
          </cell>
          <cell r="O283">
            <v>15.44</v>
          </cell>
          <cell r="P283">
            <v>93.8</v>
          </cell>
          <cell r="Q283">
            <v>15.44</v>
          </cell>
        </row>
        <row r="284">
          <cell r="L284" t="str">
            <v>37501</v>
          </cell>
          <cell r="M284">
            <v>118.78</v>
          </cell>
          <cell r="N284">
            <v>129.66999999999999</v>
          </cell>
          <cell r="O284">
            <v>1537.4399999999998</v>
          </cell>
          <cell r="P284">
            <v>11606.539999999999</v>
          </cell>
          <cell r="Q284">
            <v>1785.8899999999999</v>
          </cell>
        </row>
        <row r="285">
          <cell r="L285" t="str">
            <v>37502</v>
          </cell>
          <cell r="M285">
            <v>66.56</v>
          </cell>
          <cell r="N285">
            <v>60.56</v>
          </cell>
          <cell r="O285">
            <v>680.44</v>
          </cell>
          <cell r="P285">
            <v>4658.24</v>
          </cell>
          <cell r="Q285">
            <v>807.56000000000006</v>
          </cell>
        </row>
        <row r="286">
          <cell r="L286" t="str">
            <v>37503</v>
          </cell>
          <cell r="M286">
            <v>29.78</v>
          </cell>
          <cell r="N286">
            <v>47.22</v>
          </cell>
          <cell r="O286">
            <v>328.78</v>
          </cell>
          <cell r="P286">
            <v>2219.96</v>
          </cell>
          <cell r="Q286">
            <v>405.78</v>
          </cell>
        </row>
        <row r="287">
          <cell r="L287" t="str">
            <v>37504</v>
          </cell>
          <cell r="M287">
            <v>34.67</v>
          </cell>
          <cell r="N287">
            <v>66</v>
          </cell>
          <cell r="O287">
            <v>474.44</v>
          </cell>
          <cell r="P287">
            <v>3361.3999999999996</v>
          </cell>
          <cell r="Q287">
            <v>575.11</v>
          </cell>
        </row>
        <row r="288">
          <cell r="L288" t="str">
            <v>37505</v>
          </cell>
          <cell r="M288">
            <v>22.33</v>
          </cell>
          <cell r="N288">
            <v>21.78</v>
          </cell>
          <cell r="O288">
            <v>177.78</v>
          </cell>
          <cell r="P288">
            <v>1726.09</v>
          </cell>
          <cell r="Q288">
            <v>221.89</v>
          </cell>
        </row>
        <row r="289">
          <cell r="L289" t="str">
            <v>37506</v>
          </cell>
          <cell r="M289">
            <v>22</v>
          </cell>
          <cell r="N289">
            <v>39.44</v>
          </cell>
          <cell r="O289">
            <v>287.33</v>
          </cell>
          <cell r="P289">
            <v>1799.05</v>
          </cell>
          <cell r="Q289">
            <v>348.77</v>
          </cell>
        </row>
        <row r="290">
          <cell r="L290" t="str">
            <v>37507</v>
          </cell>
          <cell r="M290">
            <v>18.78</v>
          </cell>
          <cell r="N290">
            <v>33.44</v>
          </cell>
          <cell r="O290">
            <v>322</v>
          </cell>
          <cell r="P290">
            <v>1832.1000000000001</v>
          </cell>
          <cell r="Q290">
            <v>374.22</v>
          </cell>
        </row>
        <row r="291">
          <cell r="L291" t="str">
            <v>37903</v>
          </cell>
          <cell r="M291">
            <v>18.559999999999999</v>
          </cell>
          <cell r="N291">
            <v>33.33</v>
          </cell>
          <cell r="O291">
            <v>102.56</v>
          </cell>
          <cell r="P291">
            <v>334.03000000000003</v>
          </cell>
          <cell r="Q291">
            <v>154.44999999999999</v>
          </cell>
        </row>
        <row r="292">
          <cell r="L292" t="str">
            <v>38126</v>
          </cell>
          <cell r="M292">
            <v>0.78</v>
          </cell>
          <cell r="N292">
            <v>1.78</v>
          </cell>
          <cell r="O292">
            <v>6.89</v>
          </cell>
          <cell r="P292">
            <v>65.900000000000006</v>
          </cell>
          <cell r="Q292">
            <v>9.4499999999999993</v>
          </cell>
        </row>
        <row r="293">
          <cell r="L293" t="str">
            <v>38264</v>
          </cell>
          <cell r="O293">
            <v>10.11</v>
          </cell>
          <cell r="P293">
            <v>35</v>
          </cell>
          <cell r="Q293">
            <v>10.11</v>
          </cell>
        </row>
        <row r="294">
          <cell r="L294" t="str">
            <v>38265</v>
          </cell>
          <cell r="M294">
            <v>1</v>
          </cell>
          <cell r="N294">
            <v>3.67</v>
          </cell>
          <cell r="O294">
            <v>41.78</v>
          </cell>
          <cell r="P294">
            <v>196.13</v>
          </cell>
          <cell r="Q294">
            <v>46.45</v>
          </cell>
        </row>
        <row r="295">
          <cell r="L295" t="str">
            <v>38267</v>
          </cell>
          <cell r="M295">
            <v>22.67</v>
          </cell>
          <cell r="N295">
            <v>44</v>
          </cell>
          <cell r="O295">
            <v>298.44</v>
          </cell>
          <cell r="P295">
            <v>2813.41</v>
          </cell>
          <cell r="Q295">
            <v>365.11</v>
          </cell>
        </row>
        <row r="296">
          <cell r="L296" t="str">
            <v>38300</v>
          </cell>
          <cell r="M296">
            <v>2.44</v>
          </cell>
          <cell r="N296">
            <v>4.1100000000000003</v>
          </cell>
          <cell r="O296">
            <v>78.89</v>
          </cell>
          <cell r="P296">
            <v>548.57999999999993</v>
          </cell>
          <cell r="Q296">
            <v>85.44</v>
          </cell>
        </row>
        <row r="297">
          <cell r="L297" t="str">
            <v>38301</v>
          </cell>
          <cell r="N297">
            <v>1.56</v>
          </cell>
          <cell r="O297">
            <v>14.89</v>
          </cell>
          <cell r="P297">
            <v>183.14</v>
          </cell>
          <cell r="Q297">
            <v>16.45</v>
          </cell>
        </row>
        <row r="298">
          <cell r="L298" t="str">
            <v>38302</v>
          </cell>
          <cell r="N298">
            <v>3</v>
          </cell>
          <cell r="O298">
            <v>17.559999999999999</v>
          </cell>
          <cell r="P298">
            <v>121.99000000000001</v>
          </cell>
          <cell r="Q298">
            <v>20.56</v>
          </cell>
        </row>
        <row r="299">
          <cell r="L299" t="str">
            <v>38304</v>
          </cell>
          <cell r="N299">
            <v>1.67</v>
          </cell>
          <cell r="O299">
            <v>7</v>
          </cell>
          <cell r="P299">
            <v>47.3</v>
          </cell>
          <cell r="Q299">
            <v>8.67</v>
          </cell>
        </row>
        <row r="300">
          <cell r="L300" t="str">
            <v>38306</v>
          </cell>
          <cell r="M300">
            <v>1</v>
          </cell>
          <cell r="N300">
            <v>3.33</v>
          </cell>
          <cell r="O300">
            <v>28.22</v>
          </cell>
          <cell r="P300">
            <v>176.25</v>
          </cell>
          <cell r="Q300">
            <v>32.549999999999997</v>
          </cell>
        </row>
        <row r="301">
          <cell r="L301" t="str">
            <v>38308</v>
          </cell>
          <cell r="M301">
            <v>0.11</v>
          </cell>
          <cell r="N301">
            <v>1.78</v>
          </cell>
          <cell r="O301">
            <v>7.67</v>
          </cell>
          <cell r="P301">
            <v>84.5</v>
          </cell>
          <cell r="Q301">
            <v>9.56</v>
          </cell>
        </row>
        <row r="302">
          <cell r="L302" t="str">
            <v>38320</v>
          </cell>
          <cell r="M302">
            <v>1.89</v>
          </cell>
          <cell r="N302">
            <v>1.89</v>
          </cell>
          <cell r="O302">
            <v>32.11</v>
          </cell>
          <cell r="P302">
            <v>185.32</v>
          </cell>
          <cell r="Q302">
            <v>35.89</v>
          </cell>
        </row>
        <row r="303">
          <cell r="L303" t="str">
            <v>38322</v>
          </cell>
          <cell r="N303">
            <v>1.22</v>
          </cell>
          <cell r="O303">
            <v>16.329999999999998</v>
          </cell>
          <cell r="P303">
            <v>150.91000000000003</v>
          </cell>
          <cell r="Q303">
            <v>17.549999999999997</v>
          </cell>
        </row>
        <row r="304">
          <cell r="L304" t="str">
            <v>38324</v>
          </cell>
          <cell r="M304">
            <v>0.78</v>
          </cell>
          <cell r="N304">
            <v>4</v>
          </cell>
          <cell r="O304">
            <v>9.44</v>
          </cell>
          <cell r="P304">
            <v>121.91</v>
          </cell>
          <cell r="Q304">
            <v>14.219999999999999</v>
          </cell>
        </row>
        <row r="305">
          <cell r="L305" t="str">
            <v>39002</v>
          </cell>
          <cell r="M305">
            <v>9.67</v>
          </cell>
          <cell r="N305">
            <v>6.33</v>
          </cell>
          <cell r="O305">
            <v>61.56</v>
          </cell>
          <cell r="P305">
            <v>621.30999999999995</v>
          </cell>
          <cell r="Q305">
            <v>77.56</v>
          </cell>
        </row>
        <row r="306">
          <cell r="L306" t="str">
            <v>39003</v>
          </cell>
          <cell r="M306">
            <v>8.67</v>
          </cell>
          <cell r="N306">
            <v>17</v>
          </cell>
          <cell r="O306">
            <v>159.88999999999999</v>
          </cell>
          <cell r="P306">
            <v>1260.42</v>
          </cell>
          <cell r="Q306">
            <v>185.56</v>
          </cell>
        </row>
        <row r="307">
          <cell r="L307" t="str">
            <v>39007</v>
          </cell>
          <cell r="M307">
            <v>204.78</v>
          </cell>
          <cell r="N307">
            <v>274.56</v>
          </cell>
          <cell r="O307">
            <v>1939.89</v>
          </cell>
          <cell r="P307">
            <v>15700.67</v>
          </cell>
          <cell r="Q307">
            <v>2419.23</v>
          </cell>
        </row>
        <row r="308">
          <cell r="L308" t="str">
            <v>39090</v>
          </cell>
          <cell r="M308">
            <v>29.56</v>
          </cell>
          <cell r="N308">
            <v>37.67</v>
          </cell>
          <cell r="O308">
            <v>375.56</v>
          </cell>
          <cell r="P308">
            <v>3235.3</v>
          </cell>
          <cell r="Q308">
            <v>442.79</v>
          </cell>
        </row>
        <row r="309">
          <cell r="L309" t="str">
            <v>39119</v>
          </cell>
          <cell r="M309">
            <v>29.89</v>
          </cell>
          <cell r="N309">
            <v>28</v>
          </cell>
          <cell r="O309">
            <v>464</v>
          </cell>
          <cell r="P309">
            <v>3665.8199999999997</v>
          </cell>
          <cell r="Q309">
            <v>521.89</v>
          </cell>
        </row>
        <row r="310">
          <cell r="L310" t="str">
            <v>39120</v>
          </cell>
          <cell r="M310">
            <v>3.89</v>
          </cell>
          <cell r="N310">
            <v>7.56</v>
          </cell>
          <cell r="O310">
            <v>91.33</v>
          </cell>
          <cell r="P310">
            <v>833.26</v>
          </cell>
          <cell r="Q310">
            <v>102.78</v>
          </cell>
        </row>
        <row r="311">
          <cell r="L311" t="str">
            <v>39200</v>
          </cell>
          <cell r="M311">
            <v>27.33</v>
          </cell>
          <cell r="N311">
            <v>40.67</v>
          </cell>
          <cell r="O311">
            <v>464.44</v>
          </cell>
          <cell r="P311">
            <v>3597.1700000000005</v>
          </cell>
          <cell r="Q311">
            <v>532.44000000000005</v>
          </cell>
        </row>
        <row r="312">
          <cell r="L312" t="str">
            <v>39201</v>
          </cell>
          <cell r="M312">
            <v>37.89</v>
          </cell>
          <cell r="N312">
            <v>56.44</v>
          </cell>
          <cell r="O312">
            <v>920.67</v>
          </cell>
          <cell r="P312">
            <v>6741.73</v>
          </cell>
          <cell r="Q312">
            <v>1015</v>
          </cell>
        </row>
        <row r="313">
          <cell r="L313" t="str">
            <v>39202</v>
          </cell>
          <cell r="M313">
            <v>43.11</v>
          </cell>
          <cell r="N313">
            <v>36.56</v>
          </cell>
          <cell r="O313">
            <v>540.11</v>
          </cell>
          <cell r="P313">
            <v>4233.54</v>
          </cell>
          <cell r="Q313">
            <v>619.78</v>
          </cell>
        </row>
        <row r="314">
          <cell r="L314" t="str">
            <v>39203</v>
          </cell>
          <cell r="M314">
            <v>10.44</v>
          </cell>
          <cell r="N314">
            <v>9.44</v>
          </cell>
          <cell r="O314">
            <v>128.78</v>
          </cell>
          <cell r="P314">
            <v>1136.44</v>
          </cell>
          <cell r="Q314">
            <v>148.66</v>
          </cell>
        </row>
        <row r="315">
          <cell r="L315" t="str">
            <v>39204</v>
          </cell>
          <cell r="M315">
            <v>11.89</v>
          </cell>
          <cell r="N315">
            <v>21.22</v>
          </cell>
          <cell r="O315">
            <v>183.11</v>
          </cell>
          <cell r="P315">
            <v>1462.1100000000001</v>
          </cell>
          <cell r="Q315">
            <v>216.22000000000003</v>
          </cell>
        </row>
        <row r="316">
          <cell r="L316" t="str">
            <v>39205</v>
          </cell>
          <cell r="M316">
            <v>7.67</v>
          </cell>
          <cell r="N316">
            <v>10.78</v>
          </cell>
          <cell r="O316">
            <v>137.22</v>
          </cell>
          <cell r="P316">
            <v>1301.98</v>
          </cell>
          <cell r="Q316">
            <v>155.66999999999999</v>
          </cell>
        </row>
        <row r="317">
          <cell r="L317" t="str">
            <v>39207</v>
          </cell>
          <cell r="M317">
            <v>27.56</v>
          </cell>
          <cell r="N317">
            <v>43.67</v>
          </cell>
          <cell r="O317">
            <v>366.44</v>
          </cell>
          <cell r="P317">
            <v>3370.83</v>
          </cell>
          <cell r="Q317">
            <v>437.67</v>
          </cell>
        </row>
        <row r="318">
          <cell r="L318" t="str">
            <v>39208</v>
          </cell>
          <cell r="M318">
            <v>33.67</v>
          </cell>
          <cell r="N318">
            <v>62.78</v>
          </cell>
          <cell r="O318">
            <v>687.11</v>
          </cell>
          <cell r="P318">
            <v>5343.9999999999991</v>
          </cell>
          <cell r="Q318">
            <v>783.56000000000006</v>
          </cell>
        </row>
        <row r="319">
          <cell r="L319" t="str">
            <v>39209</v>
          </cell>
          <cell r="M319">
            <v>7.44</v>
          </cell>
          <cell r="N319">
            <v>8.89</v>
          </cell>
          <cell r="O319">
            <v>125.78</v>
          </cell>
          <cell r="P319">
            <v>893.18999999999994</v>
          </cell>
          <cell r="Q319">
            <v>142.11000000000001</v>
          </cell>
        </row>
        <row r="320">
          <cell r="L320" t="str">
            <v>Grand Total</v>
          </cell>
          <cell r="M320">
            <v>9274.8900000000012</v>
          </cell>
          <cell r="N320">
            <v>13749.929999999998</v>
          </cell>
          <cell r="O320">
            <v>137556.12000000002</v>
          </cell>
          <cell r="P320">
            <v>1095078.1000000006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mber O’Donnell" refreshedDate="44868.665566319447" createdVersion="8" refreshedVersion="8" minRefreshableVersion="3" recordCount="6299" xr:uid="{FAE2CE9C-0D7E-403B-B5AF-4571B9D4FBE3}">
  <cacheSource type="worksheet">
    <worksheetSource ref="A1:E6300" sheet="22-23 F195 ExpendDetail"/>
  </cacheSource>
  <cacheFields count="5">
    <cacheField name="CCDDD" numFmtId="0">
      <sharedItems count="307">
        <s v="14005"/>
        <s v="21226"/>
        <s v="22017"/>
        <s v="29103"/>
        <s v="31016"/>
        <s v="02420"/>
        <s v="17408"/>
        <s v="18303"/>
        <s v="06119"/>
        <s v="17405"/>
        <s v="37501"/>
        <s v="27403"/>
        <s v="20203"/>
        <s v="37503"/>
        <s v="21234"/>
        <s v="18100"/>
        <s v="24111"/>
        <s v="09075"/>
        <s v="16046"/>
        <s v="29100"/>
        <s v="06117"/>
        <s v="05401"/>
        <s v="27019"/>
        <s v="04228"/>
        <s v="04222"/>
        <s v="08401"/>
        <s v="18901"/>
        <s v="20215"/>
        <s v="18401"/>
        <s v="32356"/>
        <s v="21401"/>
        <s v="21302"/>
        <s v="32360"/>
        <s v="33036"/>
        <s v="16049"/>
        <s v="02250"/>
        <s v="19404"/>
        <s v="27400"/>
        <s v="38300"/>
        <s v="36250"/>
        <s v="38306"/>
        <s v="33206"/>
        <s v="36400"/>
        <s v="33115"/>
        <s v="29011"/>
        <s v="29317"/>
        <s v="14099"/>
        <s v="13151"/>
        <s v="15204"/>
        <s v="05313"/>
        <s v="22073"/>
        <s v="10050"/>
        <s v="26059"/>
        <s v="19007"/>
        <s v="31330"/>
        <s v="22207"/>
        <s v="07002"/>
        <s v="32414"/>
        <s v="27343"/>
        <s v="36101"/>
        <s v="32361"/>
        <s v="39090"/>
        <s v="09206"/>
        <s v="19028"/>
        <s v="27404"/>
        <s v="31015"/>
        <s v="19401"/>
        <s v="14068"/>
        <s v="38308"/>
        <s v="04127"/>
        <s v="17216"/>
        <s v="13165"/>
        <s v="21036"/>
        <s v="31002"/>
        <s v="06114"/>
        <s v="33205"/>
        <s v="17210"/>
        <s v="37502"/>
        <s v="27417"/>
        <s v="03053"/>
        <s v="27402"/>
        <s v="32358"/>
        <s v="38302"/>
        <s v="20401"/>
        <s v="20404"/>
        <s v="13301"/>
        <s v="39200"/>
        <s v="39204"/>
        <s v="31332"/>
        <s v="23054"/>
        <s v="32312"/>
        <s v="06103"/>
        <s v="34324"/>
        <s v="22204"/>
        <s v="39203"/>
        <s v="17401"/>
        <s v="06098"/>
        <s v="23404"/>
        <s v="14028"/>
        <s v="27902"/>
        <s v="17911"/>
        <s v="17916"/>
        <s v="10070"/>
        <s v="31063"/>
        <s v="17411"/>
        <s v="11056"/>
        <s v="08402"/>
        <s v="10003"/>
        <s v="08458"/>
        <s v="03017"/>
        <s v="17415"/>
        <s v="33212"/>
        <s v="03052"/>
        <s v="19403"/>
        <s v="20402"/>
        <s v="06101"/>
        <s v="29311"/>
        <s v="38126"/>
        <s v="04129"/>
        <s v="14097"/>
        <s v="31004"/>
        <s v="17414"/>
        <s v="31306"/>
        <s v="38264"/>
        <s v="32362"/>
        <s v="01158"/>
        <s v="08122"/>
        <s v="33183"/>
        <s v="28144"/>
        <s v="32903"/>
        <s v="20406"/>
        <s v="37504"/>
        <s v="39120"/>
        <s v="09207"/>
        <s v="04019"/>
        <s v="23311"/>
        <s v="33207"/>
        <s v="31025"/>
        <s v="14065"/>
        <s v="32354"/>
        <s v="32326"/>
        <s v="17400"/>
        <s v="37505"/>
        <s v="24350"/>
        <s v="30031"/>
        <s v="31103"/>
        <s v="14066"/>
        <s v="21214"/>
        <s v="13161"/>
        <s v="21206"/>
        <s v="39209"/>
        <s v="37507"/>
        <s v="30029"/>
        <s v="29320"/>
        <s v="31006"/>
        <s v="39003"/>
        <s v="21014"/>
        <s v="25155"/>
        <s v="24014"/>
        <s v="26056"/>
        <s v="32325"/>
        <s v="37506"/>
        <s v="14064"/>
        <s v="11051"/>
        <s v="18400"/>
        <s v="23403"/>
        <s v="25200"/>
        <s v="34003"/>
        <s v="33211"/>
        <s v="17417"/>
        <s v="15201"/>
        <s v="38324"/>
        <s v="14400"/>
        <s v="25101"/>
        <s v="14172"/>
        <s v="22105"/>
        <s v="24105"/>
        <s v="34111"/>
        <s v="24019"/>
        <s v="21300"/>
        <s v="33030"/>
        <s v="28137"/>
        <s v="32123"/>
        <s v="10065"/>
        <s v="24410"/>
        <s v="27344"/>
        <s v="01147"/>
        <s v="09102"/>
        <s v="38301"/>
        <s v="11001"/>
        <s v="24122"/>
        <s v="03050"/>
        <s v="21301"/>
        <s v="27401"/>
        <s v="04901"/>
        <s v="23402"/>
        <s v="12110"/>
        <s v="05121"/>
        <s v="16050"/>
        <s v="36402"/>
        <s v="32907"/>
        <s v="03116"/>
        <s v="38901"/>
        <s v="38267"/>
        <s v="27003"/>
        <s v="16020"/>
        <s v="16048"/>
        <s v="05402"/>
        <s v="13144"/>
        <s v="17908"/>
        <s v="34307"/>
        <s v="17910"/>
        <s v="25116"/>
        <s v="22009"/>
        <s v="17403"/>
        <s v="10309"/>
        <s v="03400"/>
        <s v="06122"/>
        <s v="01160"/>
        <s v="32416"/>
        <s v="17407"/>
        <s v="34401"/>
        <s v="20403"/>
        <s v="38320"/>
        <s v="13160"/>
        <s v="28149"/>
        <s v="14104"/>
        <s v="17001"/>
        <s v="29101"/>
        <s v="39119"/>
        <s v="26070"/>
        <s v="05323"/>
        <s v="23309"/>
        <s v="17412"/>
        <s v="30002"/>
        <s v="17404"/>
        <s v="31201"/>
        <s v="17410"/>
        <s v="13156"/>
        <s v="25118"/>
        <s v="18402"/>
        <s v="15206"/>
        <s v="23042"/>
        <s v="32901"/>
        <s v="32081"/>
        <s v="22008"/>
        <s v="38322"/>
        <s v="31401"/>
        <s v="11054"/>
        <s v="07035"/>
        <s v="27001"/>
        <s v="38304"/>
        <s v="30303"/>
        <s v="31311"/>
        <s v="17905"/>
        <s v="27905"/>
        <s v="17902"/>
        <s v="33202"/>
        <s v="27320"/>
        <s v="39201"/>
        <s v="27010"/>
        <s v="14077"/>
        <s v="17409"/>
        <s v="38265"/>
        <s v="34402"/>
        <s v="19400"/>
        <s v="21237"/>
        <s v="24404"/>
        <s v="39202"/>
        <s v="36300"/>
        <s v="08130"/>
        <s v="20400"/>
        <s v="17406"/>
        <s v="34033"/>
        <s v="39002"/>
        <s v="27083"/>
        <s v="33070"/>
        <s v="06037"/>
        <s v="17402"/>
        <s v="35200"/>
        <s v="13073"/>
        <s v="36401"/>
        <s v="36140"/>
        <s v="39207"/>
        <s v="13146"/>
        <s v="06112"/>
        <s v="01109"/>
        <s v="09209"/>
        <s v="33049"/>
        <s v="04246"/>
        <s v="32363"/>
        <s v="39208"/>
        <s v="37902"/>
        <s v="21303"/>
        <s v="27416"/>
        <s v="20405"/>
        <s v="17917"/>
        <s v="22200"/>
        <s v="25160"/>
        <s v="13167"/>
        <s v="21232"/>
        <s v="14117"/>
        <s v="20094"/>
        <s v="08404"/>
        <s v="39007"/>
        <s v="34002"/>
        <s v="39205"/>
      </sharedItems>
    </cacheField>
    <cacheField name="Program" numFmtId="0">
      <sharedItems containsSemiMixedTypes="0" containsString="0" containsNumber="1" containsInteger="1" minValue="21" maxValue="29" count="5">
        <n v="21"/>
        <n v="23"/>
        <n v="24"/>
        <n v="29"/>
        <n v="26"/>
      </sharedItems>
    </cacheField>
    <cacheField name="Activity" numFmtId="0">
      <sharedItems containsSemiMixedTypes="0" containsString="0" containsNumber="1" containsInteger="1" minValue="21" maxValue="34" count="13">
        <n v="21"/>
        <n v="26"/>
        <n v="27"/>
        <n v="31"/>
        <n v="34"/>
        <n v="29"/>
        <n v="32"/>
        <n v="25"/>
        <n v="33"/>
        <n v="24"/>
        <n v="23"/>
        <n v="28"/>
        <n v="22"/>
      </sharedItems>
    </cacheField>
    <cacheField name="Object" numFmtId="0">
      <sharedItems containsSemiMixedTypes="0" containsString="0" containsNumber="1" containsInteger="1" minValue="0" maxValue="9" count="8">
        <n v="2"/>
        <n v="3"/>
        <n v="4"/>
        <n v="5"/>
        <n v="7"/>
        <n v="0"/>
        <n v="8"/>
        <n v="9"/>
      </sharedItems>
    </cacheField>
    <cacheField name="Amount" numFmtId="0">
      <sharedItems containsSemiMixedTypes="0" containsString="0" containsNumber="1" containsInteger="1" minValue="-340000" maxValue="566873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99">
  <r>
    <x v="0"/>
    <x v="0"/>
    <x v="0"/>
    <x v="0"/>
    <n v="128714"/>
  </r>
  <r>
    <x v="0"/>
    <x v="0"/>
    <x v="0"/>
    <x v="1"/>
    <n v="113149"/>
  </r>
  <r>
    <x v="0"/>
    <x v="0"/>
    <x v="0"/>
    <x v="2"/>
    <n v="94901"/>
  </r>
  <r>
    <x v="0"/>
    <x v="0"/>
    <x v="0"/>
    <x v="3"/>
    <n v="1000"/>
  </r>
  <r>
    <x v="0"/>
    <x v="0"/>
    <x v="1"/>
    <x v="0"/>
    <n v="136339"/>
  </r>
  <r>
    <x v="0"/>
    <x v="0"/>
    <x v="1"/>
    <x v="1"/>
    <n v="120477"/>
  </r>
  <r>
    <x v="0"/>
    <x v="0"/>
    <x v="1"/>
    <x v="2"/>
    <n v="102255"/>
  </r>
  <r>
    <x v="0"/>
    <x v="0"/>
    <x v="1"/>
    <x v="3"/>
    <n v="12000"/>
  </r>
  <r>
    <x v="0"/>
    <x v="0"/>
    <x v="1"/>
    <x v="4"/>
    <n v="133431"/>
  </r>
  <r>
    <x v="0"/>
    <x v="0"/>
    <x v="2"/>
    <x v="0"/>
    <n v="2179656"/>
  </r>
  <r>
    <x v="0"/>
    <x v="0"/>
    <x v="2"/>
    <x v="1"/>
    <n v="1301637"/>
  </r>
  <r>
    <x v="0"/>
    <x v="0"/>
    <x v="2"/>
    <x v="2"/>
    <n v="1777959"/>
  </r>
  <r>
    <x v="0"/>
    <x v="0"/>
    <x v="2"/>
    <x v="3"/>
    <n v="17500"/>
  </r>
  <r>
    <x v="0"/>
    <x v="0"/>
    <x v="2"/>
    <x v="4"/>
    <n v="10500"/>
  </r>
  <r>
    <x v="0"/>
    <x v="0"/>
    <x v="3"/>
    <x v="3"/>
    <n v="2000"/>
  </r>
  <r>
    <x v="0"/>
    <x v="0"/>
    <x v="4"/>
    <x v="0"/>
    <n v="52025"/>
  </r>
  <r>
    <x v="0"/>
    <x v="0"/>
    <x v="4"/>
    <x v="2"/>
    <n v="12266"/>
  </r>
  <r>
    <x v="0"/>
    <x v="1"/>
    <x v="1"/>
    <x v="1"/>
    <n v="59692"/>
  </r>
  <r>
    <x v="0"/>
    <x v="1"/>
    <x v="1"/>
    <x v="2"/>
    <n v="48244"/>
  </r>
  <r>
    <x v="0"/>
    <x v="1"/>
    <x v="1"/>
    <x v="4"/>
    <n v="15000"/>
  </r>
  <r>
    <x v="0"/>
    <x v="2"/>
    <x v="0"/>
    <x v="0"/>
    <n v="32179"/>
  </r>
  <r>
    <x v="0"/>
    <x v="2"/>
    <x v="0"/>
    <x v="2"/>
    <n v="8844"/>
  </r>
  <r>
    <x v="0"/>
    <x v="2"/>
    <x v="1"/>
    <x v="0"/>
    <n v="293364"/>
  </r>
  <r>
    <x v="0"/>
    <x v="2"/>
    <x v="1"/>
    <x v="2"/>
    <n v="105363"/>
  </r>
  <r>
    <x v="0"/>
    <x v="2"/>
    <x v="1"/>
    <x v="4"/>
    <n v="95000"/>
  </r>
  <r>
    <x v="0"/>
    <x v="2"/>
    <x v="2"/>
    <x v="0"/>
    <n v="213786"/>
  </r>
  <r>
    <x v="0"/>
    <x v="2"/>
    <x v="2"/>
    <x v="2"/>
    <n v="75477"/>
  </r>
  <r>
    <x v="1"/>
    <x v="0"/>
    <x v="2"/>
    <x v="0"/>
    <n v="201578"/>
  </r>
  <r>
    <x v="1"/>
    <x v="0"/>
    <x v="2"/>
    <x v="1"/>
    <n v="216686"/>
  </r>
  <r>
    <x v="1"/>
    <x v="0"/>
    <x v="2"/>
    <x v="2"/>
    <n v="239338"/>
  </r>
  <r>
    <x v="1"/>
    <x v="0"/>
    <x v="2"/>
    <x v="3"/>
    <n v="2699"/>
  </r>
  <r>
    <x v="1"/>
    <x v="0"/>
    <x v="2"/>
    <x v="4"/>
    <n v="293000"/>
  </r>
  <r>
    <x v="1"/>
    <x v="2"/>
    <x v="2"/>
    <x v="4"/>
    <n v="124779"/>
  </r>
  <r>
    <x v="2"/>
    <x v="0"/>
    <x v="0"/>
    <x v="0"/>
    <n v="31350"/>
  </r>
  <r>
    <x v="2"/>
    <x v="0"/>
    <x v="0"/>
    <x v="2"/>
    <n v="10848"/>
  </r>
  <r>
    <x v="2"/>
    <x v="0"/>
    <x v="1"/>
    <x v="4"/>
    <n v="35000"/>
  </r>
  <r>
    <x v="2"/>
    <x v="0"/>
    <x v="2"/>
    <x v="0"/>
    <n v="46339"/>
  </r>
  <r>
    <x v="2"/>
    <x v="0"/>
    <x v="2"/>
    <x v="1"/>
    <n v="19132"/>
  </r>
  <r>
    <x v="2"/>
    <x v="0"/>
    <x v="2"/>
    <x v="2"/>
    <n v="37076"/>
  </r>
  <r>
    <x v="2"/>
    <x v="0"/>
    <x v="2"/>
    <x v="3"/>
    <n v="2500"/>
  </r>
  <r>
    <x v="2"/>
    <x v="2"/>
    <x v="1"/>
    <x v="4"/>
    <n v="29500"/>
  </r>
  <r>
    <x v="3"/>
    <x v="0"/>
    <x v="0"/>
    <x v="5"/>
    <n v="1500"/>
  </r>
  <r>
    <x v="3"/>
    <x v="0"/>
    <x v="0"/>
    <x v="0"/>
    <n v="267771"/>
  </r>
  <r>
    <x v="3"/>
    <x v="0"/>
    <x v="0"/>
    <x v="1"/>
    <n v="71042"/>
  </r>
  <r>
    <x v="3"/>
    <x v="0"/>
    <x v="0"/>
    <x v="2"/>
    <n v="102959"/>
  </r>
  <r>
    <x v="3"/>
    <x v="0"/>
    <x v="0"/>
    <x v="3"/>
    <n v="900"/>
  </r>
  <r>
    <x v="3"/>
    <x v="0"/>
    <x v="0"/>
    <x v="4"/>
    <n v="13500"/>
  </r>
  <r>
    <x v="3"/>
    <x v="0"/>
    <x v="0"/>
    <x v="6"/>
    <n v="500"/>
  </r>
  <r>
    <x v="3"/>
    <x v="0"/>
    <x v="1"/>
    <x v="0"/>
    <n v="908961"/>
  </r>
  <r>
    <x v="3"/>
    <x v="0"/>
    <x v="1"/>
    <x v="2"/>
    <n v="326110"/>
  </r>
  <r>
    <x v="3"/>
    <x v="0"/>
    <x v="2"/>
    <x v="0"/>
    <n v="1414300"/>
  </r>
  <r>
    <x v="3"/>
    <x v="0"/>
    <x v="2"/>
    <x v="1"/>
    <n v="805986"/>
  </r>
  <r>
    <x v="3"/>
    <x v="0"/>
    <x v="2"/>
    <x v="2"/>
    <n v="1027878"/>
  </r>
  <r>
    <x v="3"/>
    <x v="0"/>
    <x v="2"/>
    <x v="4"/>
    <n v="130347"/>
  </r>
  <r>
    <x v="3"/>
    <x v="0"/>
    <x v="3"/>
    <x v="3"/>
    <n v="500"/>
  </r>
  <r>
    <x v="3"/>
    <x v="0"/>
    <x v="3"/>
    <x v="4"/>
    <n v="5000"/>
  </r>
  <r>
    <x v="3"/>
    <x v="0"/>
    <x v="3"/>
    <x v="6"/>
    <n v="500"/>
  </r>
  <r>
    <x v="3"/>
    <x v="0"/>
    <x v="4"/>
    <x v="0"/>
    <n v="39064"/>
  </r>
  <r>
    <x v="3"/>
    <x v="0"/>
    <x v="4"/>
    <x v="2"/>
    <n v="9021"/>
  </r>
  <r>
    <x v="3"/>
    <x v="2"/>
    <x v="1"/>
    <x v="3"/>
    <n v="9000"/>
  </r>
  <r>
    <x v="3"/>
    <x v="2"/>
    <x v="1"/>
    <x v="4"/>
    <n v="2000"/>
  </r>
  <r>
    <x v="3"/>
    <x v="2"/>
    <x v="1"/>
    <x v="6"/>
    <n v="200"/>
  </r>
  <r>
    <x v="3"/>
    <x v="2"/>
    <x v="2"/>
    <x v="1"/>
    <n v="83137"/>
  </r>
  <r>
    <x v="3"/>
    <x v="2"/>
    <x v="2"/>
    <x v="2"/>
    <n v="40647"/>
  </r>
  <r>
    <x v="3"/>
    <x v="2"/>
    <x v="2"/>
    <x v="3"/>
    <n v="6000"/>
  </r>
  <r>
    <x v="3"/>
    <x v="2"/>
    <x v="2"/>
    <x v="4"/>
    <n v="377653"/>
  </r>
  <r>
    <x v="3"/>
    <x v="2"/>
    <x v="2"/>
    <x v="6"/>
    <n v="300"/>
  </r>
  <r>
    <x v="4"/>
    <x v="0"/>
    <x v="0"/>
    <x v="0"/>
    <n v="265581"/>
  </r>
  <r>
    <x v="4"/>
    <x v="0"/>
    <x v="0"/>
    <x v="1"/>
    <n v="180233"/>
  </r>
  <r>
    <x v="4"/>
    <x v="0"/>
    <x v="0"/>
    <x v="2"/>
    <n v="150057"/>
  </r>
  <r>
    <x v="4"/>
    <x v="0"/>
    <x v="0"/>
    <x v="3"/>
    <n v="800"/>
  </r>
  <r>
    <x v="4"/>
    <x v="0"/>
    <x v="0"/>
    <x v="4"/>
    <n v="1350"/>
  </r>
  <r>
    <x v="4"/>
    <x v="0"/>
    <x v="1"/>
    <x v="0"/>
    <n v="1194212"/>
  </r>
  <r>
    <x v="4"/>
    <x v="0"/>
    <x v="1"/>
    <x v="1"/>
    <n v="92457"/>
  </r>
  <r>
    <x v="4"/>
    <x v="0"/>
    <x v="1"/>
    <x v="2"/>
    <n v="460538"/>
  </r>
  <r>
    <x v="4"/>
    <x v="0"/>
    <x v="1"/>
    <x v="4"/>
    <n v="580000"/>
  </r>
  <r>
    <x v="4"/>
    <x v="0"/>
    <x v="2"/>
    <x v="0"/>
    <n v="4177261"/>
  </r>
  <r>
    <x v="4"/>
    <x v="0"/>
    <x v="2"/>
    <x v="1"/>
    <n v="2766142"/>
  </r>
  <r>
    <x v="4"/>
    <x v="0"/>
    <x v="2"/>
    <x v="2"/>
    <n v="2956003"/>
  </r>
  <r>
    <x v="4"/>
    <x v="0"/>
    <x v="2"/>
    <x v="3"/>
    <n v="34500"/>
  </r>
  <r>
    <x v="4"/>
    <x v="0"/>
    <x v="2"/>
    <x v="4"/>
    <n v="789000"/>
  </r>
  <r>
    <x v="4"/>
    <x v="0"/>
    <x v="5"/>
    <x v="4"/>
    <n v="170000"/>
  </r>
  <r>
    <x v="4"/>
    <x v="0"/>
    <x v="3"/>
    <x v="4"/>
    <n v="20000"/>
  </r>
  <r>
    <x v="4"/>
    <x v="1"/>
    <x v="2"/>
    <x v="4"/>
    <n v="213137"/>
  </r>
  <r>
    <x v="4"/>
    <x v="2"/>
    <x v="1"/>
    <x v="0"/>
    <n v="686623"/>
  </r>
  <r>
    <x v="4"/>
    <x v="2"/>
    <x v="1"/>
    <x v="2"/>
    <n v="228540"/>
  </r>
  <r>
    <x v="4"/>
    <x v="2"/>
    <x v="1"/>
    <x v="4"/>
    <n v="79220"/>
  </r>
  <r>
    <x v="4"/>
    <x v="2"/>
    <x v="2"/>
    <x v="0"/>
    <n v="3000"/>
  </r>
  <r>
    <x v="4"/>
    <x v="2"/>
    <x v="2"/>
    <x v="1"/>
    <n v="29075"/>
  </r>
  <r>
    <x v="4"/>
    <x v="2"/>
    <x v="2"/>
    <x v="2"/>
    <n v="18882"/>
  </r>
  <r>
    <x v="5"/>
    <x v="0"/>
    <x v="0"/>
    <x v="0"/>
    <n v="3542"/>
  </r>
  <r>
    <x v="5"/>
    <x v="0"/>
    <x v="0"/>
    <x v="1"/>
    <n v="11680"/>
  </r>
  <r>
    <x v="5"/>
    <x v="0"/>
    <x v="0"/>
    <x v="2"/>
    <n v="6485"/>
  </r>
  <r>
    <x v="5"/>
    <x v="0"/>
    <x v="1"/>
    <x v="0"/>
    <n v="105885"/>
  </r>
  <r>
    <x v="5"/>
    <x v="0"/>
    <x v="1"/>
    <x v="2"/>
    <n v="42934"/>
  </r>
  <r>
    <x v="5"/>
    <x v="0"/>
    <x v="2"/>
    <x v="5"/>
    <n v="3000"/>
  </r>
  <r>
    <x v="5"/>
    <x v="0"/>
    <x v="2"/>
    <x v="0"/>
    <n v="183372"/>
  </r>
  <r>
    <x v="5"/>
    <x v="0"/>
    <x v="2"/>
    <x v="1"/>
    <n v="167993"/>
  </r>
  <r>
    <x v="5"/>
    <x v="0"/>
    <x v="2"/>
    <x v="2"/>
    <n v="197879"/>
  </r>
  <r>
    <x v="5"/>
    <x v="0"/>
    <x v="2"/>
    <x v="3"/>
    <n v="4500"/>
  </r>
  <r>
    <x v="5"/>
    <x v="0"/>
    <x v="6"/>
    <x v="3"/>
    <n v="3030"/>
  </r>
  <r>
    <x v="5"/>
    <x v="0"/>
    <x v="6"/>
    <x v="4"/>
    <n v="784"/>
  </r>
  <r>
    <x v="5"/>
    <x v="2"/>
    <x v="0"/>
    <x v="0"/>
    <n v="39995"/>
  </r>
  <r>
    <x v="5"/>
    <x v="2"/>
    <x v="0"/>
    <x v="2"/>
    <n v="12393"/>
  </r>
  <r>
    <x v="5"/>
    <x v="2"/>
    <x v="2"/>
    <x v="1"/>
    <n v="42138"/>
  </r>
  <r>
    <x v="5"/>
    <x v="2"/>
    <x v="2"/>
    <x v="2"/>
    <n v="30709"/>
  </r>
  <r>
    <x v="5"/>
    <x v="2"/>
    <x v="2"/>
    <x v="3"/>
    <n v="363"/>
  </r>
  <r>
    <x v="6"/>
    <x v="0"/>
    <x v="0"/>
    <x v="0"/>
    <n v="780787"/>
  </r>
  <r>
    <x v="6"/>
    <x v="0"/>
    <x v="0"/>
    <x v="1"/>
    <n v="225067"/>
  </r>
  <r>
    <x v="6"/>
    <x v="0"/>
    <x v="0"/>
    <x v="2"/>
    <n v="275331"/>
  </r>
  <r>
    <x v="6"/>
    <x v="0"/>
    <x v="7"/>
    <x v="1"/>
    <n v="392037"/>
  </r>
  <r>
    <x v="6"/>
    <x v="0"/>
    <x v="7"/>
    <x v="2"/>
    <n v="367473"/>
  </r>
  <r>
    <x v="6"/>
    <x v="0"/>
    <x v="1"/>
    <x v="0"/>
    <n v="6720799"/>
  </r>
  <r>
    <x v="6"/>
    <x v="0"/>
    <x v="1"/>
    <x v="1"/>
    <n v="1236504"/>
  </r>
  <r>
    <x v="6"/>
    <x v="0"/>
    <x v="1"/>
    <x v="2"/>
    <n v="2944764"/>
  </r>
  <r>
    <x v="6"/>
    <x v="0"/>
    <x v="1"/>
    <x v="3"/>
    <n v="77600"/>
  </r>
  <r>
    <x v="6"/>
    <x v="0"/>
    <x v="1"/>
    <x v="4"/>
    <n v="1350613"/>
  </r>
  <r>
    <x v="6"/>
    <x v="0"/>
    <x v="1"/>
    <x v="6"/>
    <n v="8500"/>
  </r>
  <r>
    <x v="6"/>
    <x v="0"/>
    <x v="2"/>
    <x v="0"/>
    <n v="9418252"/>
  </r>
  <r>
    <x v="6"/>
    <x v="0"/>
    <x v="2"/>
    <x v="1"/>
    <n v="7585092"/>
  </r>
  <r>
    <x v="6"/>
    <x v="0"/>
    <x v="2"/>
    <x v="2"/>
    <n v="7499399"/>
  </r>
  <r>
    <x v="6"/>
    <x v="0"/>
    <x v="2"/>
    <x v="3"/>
    <n v="36849"/>
  </r>
  <r>
    <x v="6"/>
    <x v="0"/>
    <x v="2"/>
    <x v="4"/>
    <n v="36038"/>
  </r>
  <r>
    <x v="6"/>
    <x v="0"/>
    <x v="2"/>
    <x v="6"/>
    <n v="5500"/>
  </r>
  <r>
    <x v="6"/>
    <x v="0"/>
    <x v="5"/>
    <x v="4"/>
    <n v="770000"/>
  </r>
  <r>
    <x v="6"/>
    <x v="0"/>
    <x v="3"/>
    <x v="0"/>
    <n v="1941920"/>
  </r>
  <r>
    <x v="6"/>
    <x v="0"/>
    <x v="3"/>
    <x v="2"/>
    <n v="256860"/>
  </r>
  <r>
    <x v="6"/>
    <x v="0"/>
    <x v="3"/>
    <x v="4"/>
    <n v="24100"/>
  </r>
  <r>
    <x v="6"/>
    <x v="0"/>
    <x v="3"/>
    <x v="6"/>
    <n v="5000"/>
  </r>
  <r>
    <x v="6"/>
    <x v="0"/>
    <x v="6"/>
    <x v="3"/>
    <n v="7500"/>
  </r>
  <r>
    <x v="6"/>
    <x v="0"/>
    <x v="8"/>
    <x v="3"/>
    <n v="95433"/>
  </r>
  <r>
    <x v="6"/>
    <x v="0"/>
    <x v="8"/>
    <x v="4"/>
    <n v="20000"/>
  </r>
  <r>
    <x v="6"/>
    <x v="2"/>
    <x v="0"/>
    <x v="0"/>
    <n v="415960"/>
  </r>
  <r>
    <x v="6"/>
    <x v="2"/>
    <x v="0"/>
    <x v="2"/>
    <n v="90730"/>
  </r>
  <r>
    <x v="6"/>
    <x v="2"/>
    <x v="1"/>
    <x v="4"/>
    <n v="564978"/>
  </r>
  <r>
    <x v="6"/>
    <x v="2"/>
    <x v="2"/>
    <x v="0"/>
    <n v="783032"/>
  </r>
  <r>
    <x v="6"/>
    <x v="2"/>
    <x v="2"/>
    <x v="2"/>
    <n v="277219"/>
  </r>
  <r>
    <x v="6"/>
    <x v="2"/>
    <x v="2"/>
    <x v="3"/>
    <n v="10000"/>
  </r>
  <r>
    <x v="6"/>
    <x v="2"/>
    <x v="5"/>
    <x v="4"/>
    <n v="327924"/>
  </r>
  <r>
    <x v="6"/>
    <x v="2"/>
    <x v="3"/>
    <x v="0"/>
    <n v="97415"/>
  </r>
  <r>
    <x v="6"/>
    <x v="2"/>
    <x v="3"/>
    <x v="2"/>
    <n v="10748"/>
  </r>
  <r>
    <x v="6"/>
    <x v="2"/>
    <x v="3"/>
    <x v="4"/>
    <n v="53841"/>
  </r>
  <r>
    <x v="6"/>
    <x v="2"/>
    <x v="3"/>
    <x v="6"/>
    <n v="10000"/>
  </r>
  <r>
    <x v="6"/>
    <x v="2"/>
    <x v="8"/>
    <x v="3"/>
    <n v="8000"/>
  </r>
  <r>
    <x v="7"/>
    <x v="0"/>
    <x v="0"/>
    <x v="0"/>
    <n v="275726"/>
  </r>
  <r>
    <x v="7"/>
    <x v="0"/>
    <x v="0"/>
    <x v="1"/>
    <n v="35236"/>
  </r>
  <r>
    <x v="7"/>
    <x v="0"/>
    <x v="0"/>
    <x v="2"/>
    <n v="99567"/>
  </r>
  <r>
    <x v="7"/>
    <x v="0"/>
    <x v="0"/>
    <x v="3"/>
    <n v="3000"/>
  </r>
  <r>
    <x v="7"/>
    <x v="0"/>
    <x v="0"/>
    <x v="4"/>
    <n v="58198"/>
  </r>
  <r>
    <x v="7"/>
    <x v="0"/>
    <x v="0"/>
    <x v="6"/>
    <n v="400"/>
  </r>
  <r>
    <x v="7"/>
    <x v="0"/>
    <x v="7"/>
    <x v="1"/>
    <n v="100669"/>
  </r>
  <r>
    <x v="7"/>
    <x v="0"/>
    <x v="7"/>
    <x v="2"/>
    <n v="10065"/>
  </r>
  <r>
    <x v="7"/>
    <x v="0"/>
    <x v="1"/>
    <x v="0"/>
    <n v="1095563"/>
  </r>
  <r>
    <x v="7"/>
    <x v="0"/>
    <x v="1"/>
    <x v="1"/>
    <n v="13450"/>
  </r>
  <r>
    <x v="7"/>
    <x v="0"/>
    <x v="1"/>
    <x v="2"/>
    <n v="402542"/>
  </r>
  <r>
    <x v="7"/>
    <x v="0"/>
    <x v="1"/>
    <x v="3"/>
    <n v="5000"/>
  </r>
  <r>
    <x v="7"/>
    <x v="0"/>
    <x v="1"/>
    <x v="4"/>
    <n v="4500"/>
  </r>
  <r>
    <x v="7"/>
    <x v="0"/>
    <x v="2"/>
    <x v="0"/>
    <n v="2163046"/>
  </r>
  <r>
    <x v="7"/>
    <x v="0"/>
    <x v="2"/>
    <x v="1"/>
    <n v="2343330"/>
  </r>
  <r>
    <x v="7"/>
    <x v="0"/>
    <x v="2"/>
    <x v="2"/>
    <n v="2000024"/>
  </r>
  <r>
    <x v="7"/>
    <x v="0"/>
    <x v="2"/>
    <x v="3"/>
    <n v="5700"/>
  </r>
  <r>
    <x v="7"/>
    <x v="0"/>
    <x v="2"/>
    <x v="4"/>
    <n v="730650"/>
  </r>
  <r>
    <x v="7"/>
    <x v="0"/>
    <x v="2"/>
    <x v="6"/>
    <n v="12500"/>
  </r>
  <r>
    <x v="7"/>
    <x v="0"/>
    <x v="3"/>
    <x v="0"/>
    <n v="83495"/>
  </r>
  <r>
    <x v="7"/>
    <x v="0"/>
    <x v="3"/>
    <x v="1"/>
    <n v="15990"/>
  </r>
  <r>
    <x v="7"/>
    <x v="0"/>
    <x v="3"/>
    <x v="2"/>
    <n v="33129"/>
  </r>
  <r>
    <x v="7"/>
    <x v="0"/>
    <x v="3"/>
    <x v="4"/>
    <n v="1000"/>
  </r>
  <r>
    <x v="7"/>
    <x v="0"/>
    <x v="8"/>
    <x v="3"/>
    <n v="6000"/>
  </r>
  <r>
    <x v="7"/>
    <x v="0"/>
    <x v="4"/>
    <x v="0"/>
    <n v="57524"/>
  </r>
  <r>
    <x v="7"/>
    <x v="0"/>
    <x v="4"/>
    <x v="2"/>
    <n v="12915"/>
  </r>
  <r>
    <x v="7"/>
    <x v="2"/>
    <x v="1"/>
    <x v="0"/>
    <n v="283006"/>
  </r>
  <r>
    <x v="7"/>
    <x v="2"/>
    <x v="1"/>
    <x v="2"/>
    <n v="95312"/>
  </r>
  <r>
    <x v="7"/>
    <x v="2"/>
    <x v="2"/>
    <x v="0"/>
    <n v="296220"/>
  </r>
  <r>
    <x v="7"/>
    <x v="2"/>
    <x v="2"/>
    <x v="2"/>
    <n v="97925"/>
  </r>
  <r>
    <x v="7"/>
    <x v="2"/>
    <x v="3"/>
    <x v="0"/>
    <n v="8732"/>
  </r>
  <r>
    <x v="7"/>
    <x v="2"/>
    <x v="3"/>
    <x v="2"/>
    <n v="1970"/>
  </r>
  <r>
    <x v="8"/>
    <x v="0"/>
    <x v="0"/>
    <x v="0"/>
    <n v="612889"/>
  </r>
  <r>
    <x v="8"/>
    <x v="0"/>
    <x v="0"/>
    <x v="1"/>
    <n v="191117"/>
  </r>
  <r>
    <x v="8"/>
    <x v="0"/>
    <x v="0"/>
    <x v="2"/>
    <n v="270561"/>
  </r>
  <r>
    <x v="8"/>
    <x v="0"/>
    <x v="0"/>
    <x v="3"/>
    <n v="17905"/>
  </r>
  <r>
    <x v="8"/>
    <x v="0"/>
    <x v="0"/>
    <x v="4"/>
    <n v="26526"/>
  </r>
  <r>
    <x v="8"/>
    <x v="0"/>
    <x v="7"/>
    <x v="1"/>
    <n v="138748"/>
  </r>
  <r>
    <x v="8"/>
    <x v="0"/>
    <x v="7"/>
    <x v="2"/>
    <n v="86759"/>
  </r>
  <r>
    <x v="8"/>
    <x v="0"/>
    <x v="1"/>
    <x v="0"/>
    <n v="4085551"/>
  </r>
  <r>
    <x v="8"/>
    <x v="0"/>
    <x v="1"/>
    <x v="1"/>
    <n v="156491"/>
  </r>
  <r>
    <x v="8"/>
    <x v="0"/>
    <x v="1"/>
    <x v="2"/>
    <n v="1552314"/>
  </r>
  <r>
    <x v="8"/>
    <x v="0"/>
    <x v="1"/>
    <x v="3"/>
    <n v="14046"/>
  </r>
  <r>
    <x v="8"/>
    <x v="0"/>
    <x v="1"/>
    <x v="4"/>
    <n v="59488"/>
  </r>
  <r>
    <x v="8"/>
    <x v="0"/>
    <x v="1"/>
    <x v="6"/>
    <n v="764"/>
  </r>
  <r>
    <x v="8"/>
    <x v="0"/>
    <x v="2"/>
    <x v="5"/>
    <n v="285"/>
  </r>
  <r>
    <x v="8"/>
    <x v="0"/>
    <x v="2"/>
    <x v="0"/>
    <n v="7599649"/>
  </r>
  <r>
    <x v="8"/>
    <x v="0"/>
    <x v="2"/>
    <x v="1"/>
    <n v="4522619"/>
  </r>
  <r>
    <x v="8"/>
    <x v="0"/>
    <x v="2"/>
    <x v="2"/>
    <n v="5634423"/>
  </r>
  <r>
    <x v="8"/>
    <x v="0"/>
    <x v="2"/>
    <x v="3"/>
    <n v="42117"/>
  </r>
  <r>
    <x v="8"/>
    <x v="0"/>
    <x v="2"/>
    <x v="4"/>
    <n v="1061889"/>
  </r>
  <r>
    <x v="8"/>
    <x v="0"/>
    <x v="2"/>
    <x v="6"/>
    <n v="9611"/>
  </r>
  <r>
    <x v="8"/>
    <x v="0"/>
    <x v="3"/>
    <x v="3"/>
    <n v="1098"/>
  </r>
  <r>
    <x v="8"/>
    <x v="0"/>
    <x v="3"/>
    <x v="4"/>
    <n v="6045"/>
  </r>
  <r>
    <x v="8"/>
    <x v="0"/>
    <x v="3"/>
    <x v="6"/>
    <n v="302"/>
  </r>
  <r>
    <x v="8"/>
    <x v="0"/>
    <x v="6"/>
    <x v="3"/>
    <n v="11049"/>
  </r>
  <r>
    <x v="8"/>
    <x v="0"/>
    <x v="8"/>
    <x v="3"/>
    <n v="18456"/>
  </r>
  <r>
    <x v="8"/>
    <x v="0"/>
    <x v="4"/>
    <x v="0"/>
    <n v="177526"/>
  </r>
  <r>
    <x v="8"/>
    <x v="0"/>
    <x v="4"/>
    <x v="2"/>
    <n v="39968"/>
  </r>
  <r>
    <x v="8"/>
    <x v="1"/>
    <x v="2"/>
    <x v="1"/>
    <n v="40229"/>
  </r>
  <r>
    <x v="8"/>
    <x v="1"/>
    <x v="2"/>
    <x v="2"/>
    <n v="20133"/>
  </r>
  <r>
    <x v="8"/>
    <x v="1"/>
    <x v="2"/>
    <x v="3"/>
    <n v="450000"/>
  </r>
  <r>
    <x v="8"/>
    <x v="2"/>
    <x v="1"/>
    <x v="0"/>
    <n v="1203"/>
  </r>
  <r>
    <x v="8"/>
    <x v="2"/>
    <x v="1"/>
    <x v="2"/>
    <n v="271"/>
  </r>
  <r>
    <x v="8"/>
    <x v="2"/>
    <x v="2"/>
    <x v="0"/>
    <n v="15146"/>
  </r>
  <r>
    <x v="8"/>
    <x v="2"/>
    <x v="2"/>
    <x v="1"/>
    <n v="1507058"/>
  </r>
  <r>
    <x v="8"/>
    <x v="2"/>
    <x v="2"/>
    <x v="2"/>
    <n v="947237"/>
  </r>
  <r>
    <x v="9"/>
    <x v="0"/>
    <x v="0"/>
    <x v="5"/>
    <n v="9300"/>
  </r>
  <r>
    <x v="9"/>
    <x v="0"/>
    <x v="0"/>
    <x v="0"/>
    <n v="2105917"/>
  </r>
  <r>
    <x v="9"/>
    <x v="0"/>
    <x v="0"/>
    <x v="1"/>
    <n v="457376"/>
  </r>
  <r>
    <x v="9"/>
    <x v="0"/>
    <x v="0"/>
    <x v="2"/>
    <n v="869396"/>
  </r>
  <r>
    <x v="9"/>
    <x v="0"/>
    <x v="0"/>
    <x v="3"/>
    <n v="20000"/>
  </r>
  <r>
    <x v="9"/>
    <x v="0"/>
    <x v="9"/>
    <x v="5"/>
    <n v="800"/>
  </r>
  <r>
    <x v="9"/>
    <x v="0"/>
    <x v="9"/>
    <x v="0"/>
    <n v="1025554"/>
  </r>
  <r>
    <x v="9"/>
    <x v="0"/>
    <x v="9"/>
    <x v="2"/>
    <n v="391968"/>
  </r>
  <r>
    <x v="9"/>
    <x v="0"/>
    <x v="9"/>
    <x v="3"/>
    <n v="800"/>
  </r>
  <r>
    <x v="9"/>
    <x v="0"/>
    <x v="9"/>
    <x v="6"/>
    <n v="13000"/>
  </r>
  <r>
    <x v="9"/>
    <x v="0"/>
    <x v="7"/>
    <x v="1"/>
    <n v="12674"/>
  </r>
  <r>
    <x v="9"/>
    <x v="0"/>
    <x v="7"/>
    <x v="2"/>
    <n v="6691"/>
  </r>
  <r>
    <x v="9"/>
    <x v="0"/>
    <x v="1"/>
    <x v="5"/>
    <n v="900"/>
  </r>
  <r>
    <x v="9"/>
    <x v="0"/>
    <x v="1"/>
    <x v="0"/>
    <n v="7306412"/>
  </r>
  <r>
    <x v="9"/>
    <x v="0"/>
    <x v="1"/>
    <x v="1"/>
    <n v="364832"/>
  </r>
  <r>
    <x v="9"/>
    <x v="0"/>
    <x v="1"/>
    <x v="2"/>
    <n v="2858295"/>
  </r>
  <r>
    <x v="9"/>
    <x v="0"/>
    <x v="1"/>
    <x v="3"/>
    <n v="33725"/>
  </r>
  <r>
    <x v="9"/>
    <x v="0"/>
    <x v="1"/>
    <x v="4"/>
    <n v="3150935"/>
  </r>
  <r>
    <x v="9"/>
    <x v="0"/>
    <x v="1"/>
    <x v="6"/>
    <n v="8000"/>
  </r>
  <r>
    <x v="9"/>
    <x v="0"/>
    <x v="2"/>
    <x v="5"/>
    <n v="8450"/>
  </r>
  <r>
    <x v="9"/>
    <x v="0"/>
    <x v="2"/>
    <x v="0"/>
    <n v="10691685"/>
  </r>
  <r>
    <x v="9"/>
    <x v="0"/>
    <x v="2"/>
    <x v="1"/>
    <n v="10433451"/>
  </r>
  <r>
    <x v="9"/>
    <x v="0"/>
    <x v="2"/>
    <x v="2"/>
    <n v="9968161"/>
  </r>
  <r>
    <x v="9"/>
    <x v="0"/>
    <x v="2"/>
    <x v="3"/>
    <n v="96775"/>
  </r>
  <r>
    <x v="9"/>
    <x v="0"/>
    <x v="2"/>
    <x v="4"/>
    <n v="1741350"/>
  </r>
  <r>
    <x v="9"/>
    <x v="0"/>
    <x v="2"/>
    <x v="6"/>
    <n v="76200"/>
  </r>
  <r>
    <x v="9"/>
    <x v="0"/>
    <x v="3"/>
    <x v="0"/>
    <n v="719585"/>
  </r>
  <r>
    <x v="9"/>
    <x v="0"/>
    <x v="3"/>
    <x v="2"/>
    <n v="244200"/>
  </r>
  <r>
    <x v="9"/>
    <x v="0"/>
    <x v="8"/>
    <x v="5"/>
    <n v="1300"/>
  </r>
  <r>
    <x v="9"/>
    <x v="0"/>
    <x v="8"/>
    <x v="0"/>
    <n v="25186"/>
  </r>
  <r>
    <x v="9"/>
    <x v="0"/>
    <x v="8"/>
    <x v="2"/>
    <n v="5919"/>
  </r>
  <r>
    <x v="9"/>
    <x v="0"/>
    <x v="8"/>
    <x v="3"/>
    <n v="47200"/>
  </r>
  <r>
    <x v="9"/>
    <x v="0"/>
    <x v="4"/>
    <x v="0"/>
    <n v="384505"/>
  </r>
  <r>
    <x v="9"/>
    <x v="0"/>
    <x v="4"/>
    <x v="2"/>
    <n v="92024"/>
  </r>
  <r>
    <x v="9"/>
    <x v="1"/>
    <x v="1"/>
    <x v="0"/>
    <n v="161610"/>
  </r>
  <r>
    <x v="9"/>
    <x v="1"/>
    <x v="1"/>
    <x v="2"/>
    <n v="57121"/>
  </r>
  <r>
    <x v="9"/>
    <x v="1"/>
    <x v="1"/>
    <x v="4"/>
    <n v="166964"/>
  </r>
  <r>
    <x v="9"/>
    <x v="1"/>
    <x v="2"/>
    <x v="0"/>
    <n v="110284"/>
  </r>
  <r>
    <x v="9"/>
    <x v="1"/>
    <x v="2"/>
    <x v="2"/>
    <n v="49996"/>
  </r>
  <r>
    <x v="9"/>
    <x v="1"/>
    <x v="2"/>
    <x v="3"/>
    <n v="34502"/>
  </r>
  <r>
    <x v="9"/>
    <x v="1"/>
    <x v="2"/>
    <x v="4"/>
    <n v="154028"/>
  </r>
  <r>
    <x v="9"/>
    <x v="1"/>
    <x v="3"/>
    <x v="0"/>
    <n v="4514"/>
  </r>
  <r>
    <x v="9"/>
    <x v="1"/>
    <x v="3"/>
    <x v="2"/>
    <n v="1079"/>
  </r>
  <r>
    <x v="9"/>
    <x v="2"/>
    <x v="9"/>
    <x v="1"/>
    <n v="91722"/>
  </r>
  <r>
    <x v="9"/>
    <x v="2"/>
    <x v="9"/>
    <x v="2"/>
    <n v="47897"/>
  </r>
  <r>
    <x v="9"/>
    <x v="2"/>
    <x v="1"/>
    <x v="0"/>
    <n v="274142"/>
  </r>
  <r>
    <x v="9"/>
    <x v="2"/>
    <x v="1"/>
    <x v="1"/>
    <n v="194526"/>
  </r>
  <r>
    <x v="9"/>
    <x v="2"/>
    <x v="1"/>
    <x v="2"/>
    <n v="200652"/>
  </r>
  <r>
    <x v="9"/>
    <x v="2"/>
    <x v="1"/>
    <x v="4"/>
    <n v="800000"/>
  </r>
  <r>
    <x v="9"/>
    <x v="2"/>
    <x v="2"/>
    <x v="0"/>
    <n v="2157670"/>
  </r>
  <r>
    <x v="9"/>
    <x v="2"/>
    <x v="2"/>
    <x v="2"/>
    <n v="755685"/>
  </r>
  <r>
    <x v="9"/>
    <x v="2"/>
    <x v="2"/>
    <x v="3"/>
    <n v="20000"/>
  </r>
  <r>
    <x v="9"/>
    <x v="2"/>
    <x v="2"/>
    <x v="4"/>
    <n v="235663"/>
  </r>
  <r>
    <x v="9"/>
    <x v="2"/>
    <x v="3"/>
    <x v="0"/>
    <n v="47434"/>
  </r>
  <r>
    <x v="9"/>
    <x v="2"/>
    <x v="3"/>
    <x v="2"/>
    <n v="11312"/>
  </r>
  <r>
    <x v="10"/>
    <x v="0"/>
    <x v="0"/>
    <x v="5"/>
    <n v="1500"/>
  </r>
  <r>
    <x v="10"/>
    <x v="0"/>
    <x v="0"/>
    <x v="0"/>
    <n v="455638"/>
  </r>
  <r>
    <x v="10"/>
    <x v="0"/>
    <x v="0"/>
    <x v="1"/>
    <n v="348529"/>
  </r>
  <r>
    <x v="10"/>
    <x v="0"/>
    <x v="0"/>
    <x v="2"/>
    <n v="312861"/>
  </r>
  <r>
    <x v="10"/>
    <x v="0"/>
    <x v="0"/>
    <x v="4"/>
    <n v="424729"/>
  </r>
  <r>
    <x v="10"/>
    <x v="0"/>
    <x v="9"/>
    <x v="1"/>
    <n v="365270"/>
  </r>
  <r>
    <x v="10"/>
    <x v="0"/>
    <x v="9"/>
    <x v="2"/>
    <n v="296213"/>
  </r>
  <r>
    <x v="10"/>
    <x v="0"/>
    <x v="1"/>
    <x v="0"/>
    <n v="3411571"/>
  </r>
  <r>
    <x v="10"/>
    <x v="0"/>
    <x v="1"/>
    <x v="1"/>
    <n v="47467"/>
  </r>
  <r>
    <x v="10"/>
    <x v="0"/>
    <x v="1"/>
    <x v="2"/>
    <n v="1324514"/>
  </r>
  <r>
    <x v="10"/>
    <x v="0"/>
    <x v="1"/>
    <x v="3"/>
    <n v="6570"/>
  </r>
  <r>
    <x v="10"/>
    <x v="0"/>
    <x v="1"/>
    <x v="6"/>
    <n v="1350"/>
  </r>
  <r>
    <x v="10"/>
    <x v="0"/>
    <x v="2"/>
    <x v="0"/>
    <n v="8835604"/>
  </r>
  <r>
    <x v="10"/>
    <x v="0"/>
    <x v="2"/>
    <x v="1"/>
    <n v="6765345"/>
  </r>
  <r>
    <x v="10"/>
    <x v="0"/>
    <x v="2"/>
    <x v="2"/>
    <n v="6860681"/>
  </r>
  <r>
    <x v="10"/>
    <x v="0"/>
    <x v="2"/>
    <x v="3"/>
    <n v="139840"/>
  </r>
  <r>
    <x v="10"/>
    <x v="0"/>
    <x v="2"/>
    <x v="4"/>
    <n v="623200"/>
  </r>
  <r>
    <x v="10"/>
    <x v="0"/>
    <x v="2"/>
    <x v="6"/>
    <n v="1150"/>
  </r>
  <r>
    <x v="10"/>
    <x v="0"/>
    <x v="3"/>
    <x v="0"/>
    <n v="300031"/>
  </r>
  <r>
    <x v="10"/>
    <x v="0"/>
    <x v="3"/>
    <x v="2"/>
    <n v="77411"/>
  </r>
  <r>
    <x v="10"/>
    <x v="0"/>
    <x v="3"/>
    <x v="4"/>
    <n v="15000"/>
  </r>
  <r>
    <x v="10"/>
    <x v="0"/>
    <x v="3"/>
    <x v="6"/>
    <n v="5000"/>
  </r>
  <r>
    <x v="10"/>
    <x v="2"/>
    <x v="1"/>
    <x v="0"/>
    <n v="762679"/>
  </r>
  <r>
    <x v="10"/>
    <x v="2"/>
    <x v="1"/>
    <x v="2"/>
    <n v="272225"/>
  </r>
  <r>
    <x v="10"/>
    <x v="2"/>
    <x v="2"/>
    <x v="0"/>
    <n v="807543"/>
  </r>
  <r>
    <x v="10"/>
    <x v="2"/>
    <x v="2"/>
    <x v="1"/>
    <n v="46540"/>
  </r>
  <r>
    <x v="10"/>
    <x v="2"/>
    <x v="2"/>
    <x v="2"/>
    <n v="300913"/>
  </r>
  <r>
    <x v="10"/>
    <x v="2"/>
    <x v="2"/>
    <x v="3"/>
    <n v="56280"/>
  </r>
  <r>
    <x v="10"/>
    <x v="2"/>
    <x v="3"/>
    <x v="0"/>
    <n v="22853"/>
  </r>
  <r>
    <x v="10"/>
    <x v="2"/>
    <x v="3"/>
    <x v="2"/>
    <n v="5257"/>
  </r>
  <r>
    <x v="11"/>
    <x v="0"/>
    <x v="0"/>
    <x v="5"/>
    <n v="3300"/>
  </r>
  <r>
    <x v="11"/>
    <x v="0"/>
    <x v="0"/>
    <x v="0"/>
    <n v="1830004"/>
  </r>
  <r>
    <x v="11"/>
    <x v="0"/>
    <x v="0"/>
    <x v="1"/>
    <n v="150735"/>
  </r>
  <r>
    <x v="11"/>
    <x v="0"/>
    <x v="0"/>
    <x v="2"/>
    <n v="651934"/>
  </r>
  <r>
    <x v="11"/>
    <x v="0"/>
    <x v="9"/>
    <x v="5"/>
    <n v="100"/>
  </r>
  <r>
    <x v="11"/>
    <x v="0"/>
    <x v="9"/>
    <x v="0"/>
    <n v="185271"/>
  </r>
  <r>
    <x v="11"/>
    <x v="0"/>
    <x v="9"/>
    <x v="1"/>
    <n v="89578"/>
  </r>
  <r>
    <x v="11"/>
    <x v="0"/>
    <x v="9"/>
    <x v="2"/>
    <n v="98686"/>
  </r>
  <r>
    <x v="11"/>
    <x v="0"/>
    <x v="7"/>
    <x v="1"/>
    <n v="653476"/>
  </r>
  <r>
    <x v="11"/>
    <x v="0"/>
    <x v="7"/>
    <x v="2"/>
    <n v="271770"/>
  </r>
  <r>
    <x v="11"/>
    <x v="0"/>
    <x v="1"/>
    <x v="5"/>
    <n v="200"/>
  </r>
  <r>
    <x v="11"/>
    <x v="0"/>
    <x v="1"/>
    <x v="0"/>
    <n v="2751715"/>
  </r>
  <r>
    <x v="11"/>
    <x v="0"/>
    <x v="1"/>
    <x v="1"/>
    <n v="620289"/>
  </r>
  <r>
    <x v="11"/>
    <x v="0"/>
    <x v="1"/>
    <x v="2"/>
    <n v="1195926"/>
  </r>
  <r>
    <x v="11"/>
    <x v="0"/>
    <x v="1"/>
    <x v="4"/>
    <n v="3797980"/>
  </r>
  <r>
    <x v="11"/>
    <x v="0"/>
    <x v="2"/>
    <x v="5"/>
    <n v="125550"/>
  </r>
  <r>
    <x v="11"/>
    <x v="0"/>
    <x v="2"/>
    <x v="0"/>
    <n v="10783246"/>
  </r>
  <r>
    <x v="11"/>
    <x v="0"/>
    <x v="2"/>
    <x v="1"/>
    <n v="6560733"/>
  </r>
  <r>
    <x v="11"/>
    <x v="0"/>
    <x v="2"/>
    <x v="2"/>
    <n v="8428270"/>
  </r>
  <r>
    <x v="11"/>
    <x v="0"/>
    <x v="2"/>
    <x v="3"/>
    <n v="84100"/>
  </r>
  <r>
    <x v="11"/>
    <x v="0"/>
    <x v="2"/>
    <x v="4"/>
    <n v="1504763"/>
  </r>
  <r>
    <x v="11"/>
    <x v="0"/>
    <x v="5"/>
    <x v="4"/>
    <n v="1250000"/>
  </r>
  <r>
    <x v="11"/>
    <x v="0"/>
    <x v="3"/>
    <x v="0"/>
    <n v="106014"/>
  </r>
  <r>
    <x v="11"/>
    <x v="0"/>
    <x v="3"/>
    <x v="2"/>
    <n v="36953"/>
  </r>
  <r>
    <x v="11"/>
    <x v="2"/>
    <x v="0"/>
    <x v="1"/>
    <n v="343017"/>
  </r>
  <r>
    <x v="11"/>
    <x v="2"/>
    <x v="0"/>
    <x v="2"/>
    <n v="149366"/>
  </r>
  <r>
    <x v="11"/>
    <x v="2"/>
    <x v="1"/>
    <x v="1"/>
    <n v="69250"/>
  </r>
  <r>
    <x v="11"/>
    <x v="2"/>
    <x v="1"/>
    <x v="2"/>
    <n v="39602"/>
  </r>
  <r>
    <x v="11"/>
    <x v="2"/>
    <x v="2"/>
    <x v="0"/>
    <n v="1088659"/>
  </r>
  <r>
    <x v="11"/>
    <x v="2"/>
    <x v="2"/>
    <x v="1"/>
    <n v="1116677"/>
  </r>
  <r>
    <x v="11"/>
    <x v="2"/>
    <x v="2"/>
    <x v="2"/>
    <n v="1066267"/>
  </r>
  <r>
    <x v="11"/>
    <x v="2"/>
    <x v="2"/>
    <x v="3"/>
    <n v="23732"/>
  </r>
  <r>
    <x v="11"/>
    <x v="2"/>
    <x v="2"/>
    <x v="4"/>
    <n v="10000"/>
  </r>
  <r>
    <x v="11"/>
    <x v="3"/>
    <x v="1"/>
    <x v="3"/>
    <n v="20000"/>
  </r>
  <r>
    <x v="11"/>
    <x v="3"/>
    <x v="2"/>
    <x v="3"/>
    <n v="25413"/>
  </r>
  <r>
    <x v="11"/>
    <x v="3"/>
    <x v="8"/>
    <x v="3"/>
    <n v="20000"/>
  </r>
  <r>
    <x v="12"/>
    <x v="0"/>
    <x v="2"/>
    <x v="4"/>
    <n v="200000"/>
  </r>
  <r>
    <x v="13"/>
    <x v="0"/>
    <x v="0"/>
    <x v="0"/>
    <n v="133592"/>
  </r>
  <r>
    <x v="13"/>
    <x v="0"/>
    <x v="0"/>
    <x v="1"/>
    <n v="68045"/>
  </r>
  <r>
    <x v="13"/>
    <x v="0"/>
    <x v="0"/>
    <x v="2"/>
    <n v="69639"/>
  </r>
  <r>
    <x v="13"/>
    <x v="0"/>
    <x v="0"/>
    <x v="3"/>
    <n v="3000"/>
  </r>
  <r>
    <x v="13"/>
    <x v="0"/>
    <x v="0"/>
    <x v="4"/>
    <n v="17000"/>
  </r>
  <r>
    <x v="13"/>
    <x v="0"/>
    <x v="0"/>
    <x v="6"/>
    <n v="2000"/>
  </r>
  <r>
    <x v="13"/>
    <x v="0"/>
    <x v="1"/>
    <x v="0"/>
    <n v="1030252"/>
  </r>
  <r>
    <x v="13"/>
    <x v="0"/>
    <x v="1"/>
    <x v="1"/>
    <n v="42660"/>
  </r>
  <r>
    <x v="13"/>
    <x v="0"/>
    <x v="1"/>
    <x v="2"/>
    <n v="408946"/>
  </r>
  <r>
    <x v="13"/>
    <x v="0"/>
    <x v="1"/>
    <x v="3"/>
    <n v="15895"/>
  </r>
  <r>
    <x v="13"/>
    <x v="0"/>
    <x v="1"/>
    <x v="4"/>
    <n v="25000"/>
  </r>
  <r>
    <x v="13"/>
    <x v="0"/>
    <x v="1"/>
    <x v="6"/>
    <n v="2883"/>
  </r>
  <r>
    <x v="13"/>
    <x v="0"/>
    <x v="2"/>
    <x v="0"/>
    <n v="1371838"/>
  </r>
  <r>
    <x v="13"/>
    <x v="0"/>
    <x v="2"/>
    <x v="1"/>
    <n v="1206799"/>
  </r>
  <r>
    <x v="13"/>
    <x v="0"/>
    <x v="2"/>
    <x v="2"/>
    <n v="1236898"/>
  </r>
  <r>
    <x v="13"/>
    <x v="0"/>
    <x v="2"/>
    <x v="3"/>
    <n v="14296"/>
  </r>
  <r>
    <x v="13"/>
    <x v="0"/>
    <x v="2"/>
    <x v="4"/>
    <n v="927300"/>
  </r>
  <r>
    <x v="13"/>
    <x v="0"/>
    <x v="2"/>
    <x v="6"/>
    <n v="311"/>
  </r>
  <r>
    <x v="13"/>
    <x v="0"/>
    <x v="3"/>
    <x v="0"/>
    <n v="5500"/>
  </r>
  <r>
    <x v="13"/>
    <x v="0"/>
    <x v="3"/>
    <x v="2"/>
    <n v="1275"/>
  </r>
  <r>
    <x v="13"/>
    <x v="2"/>
    <x v="1"/>
    <x v="1"/>
    <n v="211"/>
  </r>
  <r>
    <x v="13"/>
    <x v="2"/>
    <x v="1"/>
    <x v="2"/>
    <n v="22"/>
  </r>
  <r>
    <x v="13"/>
    <x v="2"/>
    <x v="2"/>
    <x v="0"/>
    <n v="306943"/>
  </r>
  <r>
    <x v="13"/>
    <x v="2"/>
    <x v="2"/>
    <x v="1"/>
    <n v="7853"/>
  </r>
  <r>
    <x v="13"/>
    <x v="2"/>
    <x v="2"/>
    <x v="2"/>
    <n v="119240"/>
  </r>
  <r>
    <x v="14"/>
    <x v="0"/>
    <x v="2"/>
    <x v="0"/>
    <n v="65082"/>
  </r>
  <r>
    <x v="14"/>
    <x v="0"/>
    <x v="2"/>
    <x v="1"/>
    <n v="43404"/>
  </r>
  <r>
    <x v="14"/>
    <x v="0"/>
    <x v="2"/>
    <x v="2"/>
    <n v="59731"/>
  </r>
  <r>
    <x v="14"/>
    <x v="0"/>
    <x v="2"/>
    <x v="3"/>
    <n v="547"/>
  </r>
  <r>
    <x v="14"/>
    <x v="0"/>
    <x v="2"/>
    <x v="4"/>
    <n v="25000"/>
  </r>
  <r>
    <x v="14"/>
    <x v="0"/>
    <x v="5"/>
    <x v="4"/>
    <n v="100000"/>
  </r>
  <r>
    <x v="14"/>
    <x v="2"/>
    <x v="1"/>
    <x v="4"/>
    <n v="29184"/>
  </r>
  <r>
    <x v="15"/>
    <x v="0"/>
    <x v="0"/>
    <x v="0"/>
    <n v="236273"/>
  </r>
  <r>
    <x v="15"/>
    <x v="0"/>
    <x v="0"/>
    <x v="1"/>
    <n v="98302"/>
  </r>
  <r>
    <x v="15"/>
    <x v="0"/>
    <x v="0"/>
    <x v="2"/>
    <n v="110635"/>
  </r>
  <r>
    <x v="15"/>
    <x v="0"/>
    <x v="7"/>
    <x v="1"/>
    <n v="130653"/>
  </r>
  <r>
    <x v="15"/>
    <x v="0"/>
    <x v="7"/>
    <x v="2"/>
    <n v="82698"/>
  </r>
  <r>
    <x v="15"/>
    <x v="0"/>
    <x v="1"/>
    <x v="0"/>
    <n v="1777459"/>
  </r>
  <r>
    <x v="15"/>
    <x v="0"/>
    <x v="1"/>
    <x v="1"/>
    <n v="119231"/>
  </r>
  <r>
    <x v="15"/>
    <x v="0"/>
    <x v="1"/>
    <x v="2"/>
    <n v="691317"/>
  </r>
  <r>
    <x v="15"/>
    <x v="0"/>
    <x v="1"/>
    <x v="4"/>
    <n v="1100000"/>
  </r>
  <r>
    <x v="15"/>
    <x v="0"/>
    <x v="2"/>
    <x v="0"/>
    <n v="3103618"/>
  </r>
  <r>
    <x v="15"/>
    <x v="0"/>
    <x v="2"/>
    <x v="1"/>
    <n v="1863783"/>
  </r>
  <r>
    <x v="15"/>
    <x v="0"/>
    <x v="2"/>
    <x v="2"/>
    <n v="2120702"/>
  </r>
  <r>
    <x v="15"/>
    <x v="0"/>
    <x v="2"/>
    <x v="3"/>
    <n v="125000"/>
  </r>
  <r>
    <x v="15"/>
    <x v="0"/>
    <x v="3"/>
    <x v="0"/>
    <n v="53239"/>
  </r>
  <r>
    <x v="15"/>
    <x v="0"/>
    <x v="3"/>
    <x v="2"/>
    <n v="12138"/>
  </r>
  <r>
    <x v="15"/>
    <x v="0"/>
    <x v="4"/>
    <x v="0"/>
    <n v="78082"/>
  </r>
  <r>
    <x v="15"/>
    <x v="0"/>
    <x v="4"/>
    <x v="2"/>
    <n v="18146"/>
  </r>
  <r>
    <x v="15"/>
    <x v="1"/>
    <x v="1"/>
    <x v="0"/>
    <n v="92391"/>
  </r>
  <r>
    <x v="15"/>
    <x v="1"/>
    <x v="1"/>
    <x v="1"/>
    <n v="40301"/>
  </r>
  <r>
    <x v="15"/>
    <x v="1"/>
    <x v="1"/>
    <x v="2"/>
    <n v="56976"/>
  </r>
  <r>
    <x v="15"/>
    <x v="1"/>
    <x v="2"/>
    <x v="3"/>
    <n v="43851"/>
  </r>
  <r>
    <x v="15"/>
    <x v="1"/>
    <x v="3"/>
    <x v="0"/>
    <n v="2584"/>
  </r>
  <r>
    <x v="15"/>
    <x v="2"/>
    <x v="1"/>
    <x v="2"/>
    <n v="56375"/>
  </r>
  <r>
    <x v="15"/>
    <x v="2"/>
    <x v="2"/>
    <x v="0"/>
    <n v="694554"/>
  </r>
  <r>
    <x v="15"/>
    <x v="2"/>
    <x v="2"/>
    <x v="2"/>
    <n v="192260"/>
  </r>
  <r>
    <x v="15"/>
    <x v="2"/>
    <x v="2"/>
    <x v="3"/>
    <n v="221768"/>
  </r>
  <r>
    <x v="15"/>
    <x v="2"/>
    <x v="3"/>
    <x v="0"/>
    <n v="18985"/>
  </r>
  <r>
    <x v="15"/>
    <x v="2"/>
    <x v="3"/>
    <x v="2"/>
    <n v="5125"/>
  </r>
  <r>
    <x v="15"/>
    <x v="3"/>
    <x v="0"/>
    <x v="3"/>
    <n v="20000"/>
  </r>
  <r>
    <x v="16"/>
    <x v="0"/>
    <x v="0"/>
    <x v="0"/>
    <n v="28750"/>
  </r>
  <r>
    <x v="16"/>
    <x v="0"/>
    <x v="0"/>
    <x v="1"/>
    <n v="17892"/>
  </r>
  <r>
    <x v="16"/>
    <x v="0"/>
    <x v="0"/>
    <x v="2"/>
    <n v="18339"/>
  </r>
  <r>
    <x v="16"/>
    <x v="0"/>
    <x v="0"/>
    <x v="3"/>
    <n v="750"/>
  </r>
  <r>
    <x v="16"/>
    <x v="0"/>
    <x v="0"/>
    <x v="4"/>
    <n v="300"/>
  </r>
  <r>
    <x v="16"/>
    <x v="0"/>
    <x v="1"/>
    <x v="0"/>
    <n v="195035"/>
  </r>
  <r>
    <x v="16"/>
    <x v="0"/>
    <x v="1"/>
    <x v="1"/>
    <n v="40898"/>
  </r>
  <r>
    <x v="16"/>
    <x v="0"/>
    <x v="1"/>
    <x v="2"/>
    <n v="90742"/>
  </r>
  <r>
    <x v="16"/>
    <x v="0"/>
    <x v="1"/>
    <x v="3"/>
    <n v="1250"/>
  </r>
  <r>
    <x v="16"/>
    <x v="0"/>
    <x v="1"/>
    <x v="4"/>
    <n v="60250"/>
  </r>
  <r>
    <x v="16"/>
    <x v="0"/>
    <x v="1"/>
    <x v="6"/>
    <n v="2500"/>
  </r>
  <r>
    <x v="16"/>
    <x v="0"/>
    <x v="2"/>
    <x v="5"/>
    <n v="7600"/>
  </r>
  <r>
    <x v="16"/>
    <x v="0"/>
    <x v="2"/>
    <x v="0"/>
    <n v="303261"/>
  </r>
  <r>
    <x v="16"/>
    <x v="0"/>
    <x v="2"/>
    <x v="1"/>
    <n v="218989"/>
  </r>
  <r>
    <x v="16"/>
    <x v="0"/>
    <x v="2"/>
    <x v="2"/>
    <n v="254130"/>
  </r>
  <r>
    <x v="16"/>
    <x v="0"/>
    <x v="2"/>
    <x v="3"/>
    <n v="11750"/>
  </r>
  <r>
    <x v="16"/>
    <x v="0"/>
    <x v="2"/>
    <x v="4"/>
    <n v="10650"/>
  </r>
  <r>
    <x v="16"/>
    <x v="0"/>
    <x v="3"/>
    <x v="1"/>
    <n v="492"/>
  </r>
  <r>
    <x v="16"/>
    <x v="0"/>
    <x v="3"/>
    <x v="2"/>
    <n v="37"/>
  </r>
  <r>
    <x v="16"/>
    <x v="0"/>
    <x v="3"/>
    <x v="4"/>
    <n v="3500"/>
  </r>
  <r>
    <x v="16"/>
    <x v="0"/>
    <x v="6"/>
    <x v="3"/>
    <n v="3000"/>
  </r>
  <r>
    <x v="16"/>
    <x v="0"/>
    <x v="6"/>
    <x v="4"/>
    <n v="5000"/>
  </r>
  <r>
    <x v="16"/>
    <x v="0"/>
    <x v="8"/>
    <x v="3"/>
    <n v="2000"/>
  </r>
  <r>
    <x v="16"/>
    <x v="1"/>
    <x v="2"/>
    <x v="1"/>
    <n v="35415"/>
  </r>
  <r>
    <x v="16"/>
    <x v="1"/>
    <x v="2"/>
    <x v="2"/>
    <n v="22553"/>
  </r>
  <r>
    <x v="16"/>
    <x v="2"/>
    <x v="2"/>
    <x v="1"/>
    <n v="145082"/>
  </r>
  <r>
    <x v="16"/>
    <x v="2"/>
    <x v="2"/>
    <x v="2"/>
    <n v="92711"/>
  </r>
  <r>
    <x v="16"/>
    <x v="2"/>
    <x v="2"/>
    <x v="3"/>
    <n v="859"/>
  </r>
  <r>
    <x v="17"/>
    <x v="0"/>
    <x v="0"/>
    <x v="1"/>
    <n v="65807"/>
  </r>
  <r>
    <x v="17"/>
    <x v="0"/>
    <x v="0"/>
    <x v="2"/>
    <n v="25708"/>
  </r>
  <r>
    <x v="17"/>
    <x v="0"/>
    <x v="0"/>
    <x v="3"/>
    <n v="500"/>
  </r>
  <r>
    <x v="17"/>
    <x v="0"/>
    <x v="2"/>
    <x v="0"/>
    <n v="179369"/>
  </r>
  <r>
    <x v="17"/>
    <x v="0"/>
    <x v="2"/>
    <x v="1"/>
    <n v="206690"/>
  </r>
  <r>
    <x v="17"/>
    <x v="0"/>
    <x v="2"/>
    <x v="2"/>
    <n v="163203"/>
  </r>
  <r>
    <x v="17"/>
    <x v="0"/>
    <x v="2"/>
    <x v="3"/>
    <n v="8088"/>
  </r>
  <r>
    <x v="17"/>
    <x v="0"/>
    <x v="2"/>
    <x v="4"/>
    <n v="349592"/>
  </r>
  <r>
    <x v="17"/>
    <x v="0"/>
    <x v="2"/>
    <x v="6"/>
    <n v="2000"/>
  </r>
  <r>
    <x v="17"/>
    <x v="0"/>
    <x v="3"/>
    <x v="4"/>
    <n v="4000"/>
  </r>
  <r>
    <x v="17"/>
    <x v="0"/>
    <x v="6"/>
    <x v="4"/>
    <n v="6000"/>
  </r>
  <r>
    <x v="17"/>
    <x v="2"/>
    <x v="0"/>
    <x v="3"/>
    <n v="31054"/>
  </r>
  <r>
    <x v="17"/>
    <x v="2"/>
    <x v="2"/>
    <x v="1"/>
    <n v="88289"/>
  </r>
  <r>
    <x v="17"/>
    <x v="2"/>
    <x v="2"/>
    <x v="2"/>
    <n v="56983"/>
  </r>
  <r>
    <x v="18"/>
    <x v="0"/>
    <x v="0"/>
    <x v="0"/>
    <n v="12149"/>
  </r>
  <r>
    <x v="18"/>
    <x v="0"/>
    <x v="0"/>
    <x v="2"/>
    <n v="3992"/>
  </r>
  <r>
    <x v="18"/>
    <x v="0"/>
    <x v="0"/>
    <x v="6"/>
    <n v="423"/>
  </r>
  <r>
    <x v="18"/>
    <x v="0"/>
    <x v="1"/>
    <x v="1"/>
    <n v="246"/>
  </r>
  <r>
    <x v="18"/>
    <x v="0"/>
    <x v="1"/>
    <x v="2"/>
    <n v="19"/>
  </r>
  <r>
    <x v="18"/>
    <x v="0"/>
    <x v="1"/>
    <x v="4"/>
    <n v="2800"/>
  </r>
  <r>
    <x v="18"/>
    <x v="0"/>
    <x v="2"/>
    <x v="0"/>
    <n v="32270"/>
  </r>
  <r>
    <x v="18"/>
    <x v="0"/>
    <x v="2"/>
    <x v="1"/>
    <n v="25335"/>
  </r>
  <r>
    <x v="18"/>
    <x v="0"/>
    <x v="2"/>
    <x v="2"/>
    <n v="27230"/>
  </r>
  <r>
    <x v="18"/>
    <x v="0"/>
    <x v="2"/>
    <x v="3"/>
    <n v="787"/>
  </r>
  <r>
    <x v="18"/>
    <x v="0"/>
    <x v="2"/>
    <x v="4"/>
    <n v="100"/>
  </r>
  <r>
    <x v="18"/>
    <x v="0"/>
    <x v="2"/>
    <x v="6"/>
    <n v="150"/>
  </r>
  <r>
    <x v="18"/>
    <x v="0"/>
    <x v="3"/>
    <x v="4"/>
    <n v="1040"/>
  </r>
  <r>
    <x v="18"/>
    <x v="0"/>
    <x v="3"/>
    <x v="6"/>
    <n v="1000"/>
  </r>
  <r>
    <x v="18"/>
    <x v="0"/>
    <x v="8"/>
    <x v="3"/>
    <n v="160"/>
  </r>
  <r>
    <x v="18"/>
    <x v="0"/>
    <x v="4"/>
    <x v="0"/>
    <n v="990"/>
  </r>
  <r>
    <x v="18"/>
    <x v="0"/>
    <x v="4"/>
    <x v="2"/>
    <n v="428"/>
  </r>
  <r>
    <x v="18"/>
    <x v="2"/>
    <x v="1"/>
    <x v="1"/>
    <n v="2333"/>
  </r>
  <r>
    <x v="18"/>
    <x v="2"/>
    <x v="1"/>
    <x v="2"/>
    <n v="180"/>
  </r>
  <r>
    <x v="18"/>
    <x v="2"/>
    <x v="1"/>
    <x v="4"/>
    <n v="11882"/>
  </r>
  <r>
    <x v="18"/>
    <x v="2"/>
    <x v="2"/>
    <x v="1"/>
    <n v="2861"/>
  </r>
  <r>
    <x v="18"/>
    <x v="2"/>
    <x v="2"/>
    <x v="2"/>
    <n v="1728"/>
  </r>
  <r>
    <x v="18"/>
    <x v="2"/>
    <x v="2"/>
    <x v="3"/>
    <n v="600"/>
  </r>
  <r>
    <x v="18"/>
    <x v="2"/>
    <x v="2"/>
    <x v="4"/>
    <n v="100"/>
  </r>
  <r>
    <x v="18"/>
    <x v="2"/>
    <x v="3"/>
    <x v="1"/>
    <n v="275"/>
  </r>
  <r>
    <x v="18"/>
    <x v="2"/>
    <x v="3"/>
    <x v="2"/>
    <n v="21"/>
  </r>
  <r>
    <x v="18"/>
    <x v="2"/>
    <x v="3"/>
    <x v="4"/>
    <n v="100"/>
  </r>
  <r>
    <x v="19"/>
    <x v="0"/>
    <x v="0"/>
    <x v="0"/>
    <n v="118993"/>
  </r>
  <r>
    <x v="19"/>
    <x v="0"/>
    <x v="0"/>
    <x v="1"/>
    <n v="134525"/>
  </r>
  <r>
    <x v="19"/>
    <x v="0"/>
    <x v="0"/>
    <x v="2"/>
    <n v="88772"/>
  </r>
  <r>
    <x v="19"/>
    <x v="0"/>
    <x v="1"/>
    <x v="0"/>
    <n v="998946"/>
  </r>
  <r>
    <x v="19"/>
    <x v="0"/>
    <x v="1"/>
    <x v="1"/>
    <n v="56172"/>
  </r>
  <r>
    <x v="19"/>
    <x v="0"/>
    <x v="1"/>
    <x v="2"/>
    <n v="370341"/>
  </r>
  <r>
    <x v="19"/>
    <x v="0"/>
    <x v="2"/>
    <x v="0"/>
    <n v="2567971"/>
  </r>
  <r>
    <x v="19"/>
    <x v="0"/>
    <x v="2"/>
    <x v="1"/>
    <n v="1714189"/>
  </r>
  <r>
    <x v="19"/>
    <x v="0"/>
    <x v="2"/>
    <x v="2"/>
    <n v="1950865"/>
  </r>
  <r>
    <x v="19"/>
    <x v="0"/>
    <x v="2"/>
    <x v="4"/>
    <n v="250000"/>
  </r>
  <r>
    <x v="19"/>
    <x v="0"/>
    <x v="3"/>
    <x v="0"/>
    <n v="28517"/>
  </r>
  <r>
    <x v="19"/>
    <x v="0"/>
    <x v="3"/>
    <x v="2"/>
    <n v="13131"/>
  </r>
  <r>
    <x v="19"/>
    <x v="0"/>
    <x v="4"/>
    <x v="0"/>
    <n v="53316"/>
  </r>
  <r>
    <x v="19"/>
    <x v="0"/>
    <x v="4"/>
    <x v="2"/>
    <n v="12220"/>
  </r>
  <r>
    <x v="19"/>
    <x v="1"/>
    <x v="2"/>
    <x v="0"/>
    <n v="57055"/>
  </r>
  <r>
    <x v="19"/>
    <x v="1"/>
    <x v="2"/>
    <x v="1"/>
    <n v="12583"/>
  </r>
  <r>
    <x v="19"/>
    <x v="1"/>
    <x v="2"/>
    <x v="2"/>
    <n v="35040"/>
  </r>
  <r>
    <x v="19"/>
    <x v="1"/>
    <x v="2"/>
    <x v="3"/>
    <n v="59000"/>
  </r>
  <r>
    <x v="19"/>
    <x v="1"/>
    <x v="3"/>
    <x v="0"/>
    <n v="935"/>
  </r>
  <r>
    <x v="19"/>
    <x v="1"/>
    <x v="3"/>
    <x v="2"/>
    <n v="217"/>
  </r>
  <r>
    <x v="19"/>
    <x v="2"/>
    <x v="1"/>
    <x v="0"/>
    <n v="478166"/>
  </r>
  <r>
    <x v="19"/>
    <x v="2"/>
    <x v="1"/>
    <x v="2"/>
    <n v="174738"/>
  </r>
  <r>
    <x v="19"/>
    <x v="2"/>
    <x v="2"/>
    <x v="0"/>
    <n v="77478"/>
  </r>
  <r>
    <x v="19"/>
    <x v="2"/>
    <x v="2"/>
    <x v="1"/>
    <n v="22012"/>
  </r>
  <r>
    <x v="19"/>
    <x v="2"/>
    <x v="2"/>
    <x v="2"/>
    <n v="44632"/>
  </r>
  <r>
    <x v="19"/>
    <x v="2"/>
    <x v="2"/>
    <x v="4"/>
    <n v="187978"/>
  </r>
  <r>
    <x v="19"/>
    <x v="2"/>
    <x v="3"/>
    <x v="0"/>
    <n v="9109"/>
  </r>
  <r>
    <x v="19"/>
    <x v="2"/>
    <x v="3"/>
    <x v="2"/>
    <n v="2087"/>
  </r>
  <r>
    <x v="20"/>
    <x v="0"/>
    <x v="0"/>
    <x v="0"/>
    <n v="334119"/>
  </r>
  <r>
    <x v="20"/>
    <x v="0"/>
    <x v="0"/>
    <x v="1"/>
    <n v="260996"/>
  </r>
  <r>
    <x v="20"/>
    <x v="0"/>
    <x v="0"/>
    <x v="2"/>
    <n v="187606"/>
  </r>
  <r>
    <x v="20"/>
    <x v="0"/>
    <x v="0"/>
    <x v="3"/>
    <n v="20000"/>
  </r>
  <r>
    <x v="20"/>
    <x v="0"/>
    <x v="7"/>
    <x v="4"/>
    <n v="2000"/>
  </r>
  <r>
    <x v="20"/>
    <x v="0"/>
    <x v="1"/>
    <x v="0"/>
    <n v="1968489"/>
  </r>
  <r>
    <x v="20"/>
    <x v="0"/>
    <x v="1"/>
    <x v="1"/>
    <n v="85526"/>
  </r>
  <r>
    <x v="20"/>
    <x v="0"/>
    <x v="1"/>
    <x v="2"/>
    <n v="758328"/>
  </r>
  <r>
    <x v="20"/>
    <x v="0"/>
    <x v="1"/>
    <x v="3"/>
    <n v="20500"/>
  </r>
  <r>
    <x v="20"/>
    <x v="0"/>
    <x v="1"/>
    <x v="4"/>
    <n v="70063"/>
  </r>
  <r>
    <x v="20"/>
    <x v="0"/>
    <x v="2"/>
    <x v="0"/>
    <n v="2940910"/>
  </r>
  <r>
    <x v="20"/>
    <x v="0"/>
    <x v="2"/>
    <x v="1"/>
    <n v="2785933"/>
  </r>
  <r>
    <x v="20"/>
    <x v="0"/>
    <x v="2"/>
    <x v="2"/>
    <n v="2734218"/>
  </r>
  <r>
    <x v="20"/>
    <x v="0"/>
    <x v="2"/>
    <x v="3"/>
    <n v="32500"/>
  </r>
  <r>
    <x v="20"/>
    <x v="0"/>
    <x v="2"/>
    <x v="4"/>
    <n v="112000"/>
  </r>
  <r>
    <x v="20"/>
    <x v="0"/>
    <x v="5"/>
    <x v="4"/>
    <n v="650000"/>
  </r>
  <r>
    <x v="20"/>
    <x v="0"/>
    <x v="3"/>
    <x v="0"/>
    <n v="57892"/>
  </r>
  <r>
    <x v="20"/>
    <x v="0"/>
    <x v="3"/>
    <x v="2"/>
    <n v="13846"/>
  </r>
  <r>
    <x v="20"/>
    <x v="0"/>
    <x v="4"/>
    <x v="0"/>
    <n v="692"/>
  </r>
  <r>
    <x v="20"/>
    <x v="1"/>
    <x v="2"/>
    <x v="1"/>
    <n v="20149"/>
  </r>
  <r>
    <x v="20"/>
    <x v="1"/>
    <x v="2"/>
    <x v="2"/>
    <n v="16576"/>
  </r>
  <r>
    <x v="20"/>
    <x v="1"/>
    <x v="2"/>
    <x v="3"/>
    <n v="5000"/>
  </r>
  <r>
    <x v="20"/>
    <x v="2"/>
    <x v="2"/>
    <x v="0"/>
    <n v="882541"/>
  </r>
  <r>
    <x v="20"/>
    <x v="2"/>
    <x v="2"/>
    <x v="1"/>
    <n v="66490"/>
  </r>
  <r>
    <x v="20"/>
    <x v="2"/>
    <x v="2"/>
    <x v="2"/>
    <n v="378693"/>
  </r>
  <r>
    <x v="21"/>
    <x v="0"/>
    <x v="0"/>
    <x v="1"/>
    <n v="27685"/>
  </r>
  <r>
    <x v="21"/>
    <x v="0"/>
    <x v="0"/>
    <x v="2"/>
    <n v="11868"/>
  </r>
  <r>
    <x v="21"/>
    <x v="0"/>
    <x v="1"/>
    <x v="4"/>
    <n v="564535"/>
  </r>
  <r>
    <x v="21"/>
    <x v="0"/>
    <x v="2"/>
    <x v="0"/>
    <n v="233316"/>
  </r>
  <r>
    <x v="21"/>
    <x v="0"/>
    <x v="2"/>
    <x v="1"/>
    <n v="157414"/>
  </r>
  <r>
    <x v="21"/>
    <x v="0"/>
    <x v="2"/>
    <x v="2"/>
    <n v="183573"/>
  </r>
  <r>
    <x v="21"/>
    <x v="0"/>
    <x v="2"/>
    <x v="3"/>
    <n v="4000"/>
  </r>
  <r>
    <x v="21"/>
    <x v="0"/>
    <x v="2"/>
    <x v="4"/>
    <n v="1500"/>
  </r>
  <r>
    <x v="21"/>
    <x v="0"/>
    <x v="6"/>
    <x v="3"/>
    <n v="1000"/>
  </r>
  <r>
    <x v="21"/>
    <x v="0"/>
    <x v="4"/>
    <x v="0"/>
    <n v="4911"/>
  </r>
  <r>
    <x v="21"/>
    <x v="0"/>
    <x v="4"/>
    <x v="2"/>
    <n v="1137"/>
  </r>
  <r>
    <x v="21"/>
    <x v="2"/>
    <x v="1"/>
    <x v="4"/>
    <n v="107474"/>
  </r>
  <r>
    <x v="21"/>
    <x v="2"/>
    <x v="2"/>
    <x v="3"/>
    <n v="9999"/>
  </r>
  <r>
    <x v="21"/>
    <x v="3"/>
    <x v="2"/>
    <x v="0"/>
    <n v="67504"/>
  </r>
  <r>
    <x v="21"/>
    <x v="3"/>
    <x v="2"/>
    <x v="2"/>
    <n v="27962"/>
  </r>
  <r>
    <x v="22"/>
    <x v="0"/>
    <x v="2"/>
    <x v="0"/>
    <n v="63224"/>
  </r>
  <r>
    <x v="22"/>
    <x v="0"/>
    <x v="2"/>
    <x v="1"/>
    <n v="45963"/>
  </r>
  <r>
    <x v="22"/>
    <x v="0"/>
    <x v="2"/>
    <x v="2"/>
    <n v="55019"/>
  </r>
  <r>
    <x v="22"/>
    <x v="0"/>
    <x v="2"/>
    <x v="3"/>
    <n v="10000"/>
  </r>
  <r>
    <x v="22"/>
    <x v="0"/>
    <x v="2"/>
    <x v="4"/>
    <n v="30600"/>
  </r>
  <r>
    <x v="22"/>
    <x v="0"/>
    <x v="5"/>
    <x v="4"/>
    <n v="120000"/>
  </r>
  <r>
    <x v="22"/>
    <x v="2"/>
    <x v="2"/>
    <x v="1"/>
    <n v="26922"/>
  </r>
  <r>
    <x v="22"/>
    <x v="2"/>
    <x v="2"/>
    <x v="2"/>
    <n v="18737"/>
  </r>
  <r>
    <x v="23"/>
    <x v="0"/>
    <x v="0"/>
    <x v="0"/>
    <n v="103014"/>
  </r>
  <r>
    <x v="23"/>
    <x v="0"/>
    <x v="0"/>
    <x v="1"/>
    <n v="27260"/>
  </r>
  <r>
    <x v="23"/>
    <x v="0"/>
    <x v="0"/>
    <x v="2"/>
    <n v="50893"/>
  </r>
  <r>
    <x v="23"/>
    <x v="0"/>
    <x v="0"/>
    <x v="3"/>
    <n v="7250"/>
  </r>
  <r>
    <x v="23"/>
    <x v="0"/>
    <x v="0"/>
    <x v="4"/>
    <n v="1750"/>
  </r>
  <r>
    <x v="23"/>
    <x v="0"/>
    <x v="1"/>
    <x v="0"/>
    <n v="237770"/>
  </r>
  <r>
    <x v="23"/>
    <x v="0"/>
    <x v="1"/>
    <x v="1"/>
    <n v="38431"/>
  </r>
  <r>
    <x v="23"/>
    <x v="0"/>
    <x v="1"/>
    <x v="2"/>
    <n v="110968"/>
  </r>
  <r>
    <x v="23"/>
    <x v="0"/>
    <x v="1"/>
    <x v="4"/>
    <n v="10000"/>
  </r>
  <r>
    <x v="23"/>
    <x v="0"/>
    <x v="1"/>
    <x v="6"/>
    <n v="2000"/>
  </r>
  <r>
    <x v="23"/>
    <x v="0"/>
    <x v="2"/>
    <x v="0"/>
    <n v="594261"/>
  </r>
  <r>
    <x v="23"/>
    <x v="0"/>
    <x v="2"/>
    <x v="1"/>
    <n v="311889"/>
  </r>
  <r>
    <x v="23"/>
    <x v="0"/>
    <x v="2"/>
    <x v="2"/>
    <n v="421720"/>
  </r>
  <r>
    <x v="23"/>
    <x v="0"/>
    <x v="2"/>
    <x v="3"/>
    <n v="9000"/>
  </r>
  <r>
    <x v="23"/>
    <x v="0"/>
    <x v="2"/>
    <x v="4"/>
    <n v="10000"/>
  </r>
  <r>
    <x v="23"/>
    <x v="0"/>
    <x v="3"/>
    <x v="0"/>
    <n v="3948"/>
  </r>
  <r>
    <x v="23"/>
    <x v="0"/>
    <x v="3"/>
    <x v="2"/>
    <n v="1524"/>
  </r>
  <r>
    <x v="23"/>
    <x v="0"/>
    <x v="3"/>
    <x v="4"/>
    <n v="5000"/>
  </r>
  <r>
    <x v="23"/>
    <x v="0"/>
    <x v="6"/>
    <x v="3"/>
    <n v="4000"/>
  </r>
  <r>
    <x v="23"/>
    <x v="0"/>
    <x v="4"/>
    <x v="0"/>
    <n v="13214"/>
  </r>
  <r>
    <x v="23"/>
    <x v="0"/>
    <x v="4"/>
    <x v="2"/>
    <n v="5099"/>
  </r>
  <r>
    <x v="23"/>
    <x v="2"/>
    <x v="2"/>
    <x v="1"/>
    <n v="181622"/>
  </r>
  <r>
    <x v="23"/>
    <x v="2"/>
    <x v="2"/>
    <x v="2"/>
    <n v="124079"/>
  </r>
  <r>
    <x v="23"/>
    <x v="2"/>
    <x v="2"/>
    <x v="4"/>
    <n v="7500"/>
  </r>
  <r>
    <x v="24"/>
    <x v="0"/>
    <x v="0"/>
    <x v="0"/>
    <n v="58209"/>
  </r>
  <r>
    <x v="24"/>
    <x v="0"/>
    <x v="0"/>
    <x v="2"/>
    <n v="19488"/>
  </r>
  <r>
    <x v="24"/>
    <x v="0"/>
    <x v="0"/>
    <x v="3"/>
    <n v="1500"/>
  </r>
  <r>
    <x v="24"/>
    <x v="0"/>
    <x v="0"/>
    <x v="4"/>
    <n v="856"/>
  </r>
  <r>
    <x v="24"/>
    <x v="0"/>
    <x v="1"/>
    <x v="0"/>
    <n v="474703"/>
  </r>
  <r>
    <x v="24"/>
    <x v="0"/>
    <x v="1"/>
    <x v="2"/>
    <n v="195051"/>
  </r>
  <r>
    <x v="24"/>
    <x v="0"/>
    <x v="1"/>
    <x v="4"/>
    <n v="87000"/>
  </r>
  <r>
    <x v="24"/>
    <x v="0"/>
    <x v="2"/>
    <x v="0"/>
    <n v="669470"/>
  </r>
  <r>
    <x v="24"/>
    <x v="0"/>
    <x v="2"/>
    <x v="1"/>
    <n v="581524"/>
  </r>
  <r>
    <x v="24"/>
    <x v="0"/>
    <x v="2"/>
    <x v="2"/>
    <n v="590180"/>
  </r>
  <r>
    <x v="24"/>
    <x v="0"/>
    <x v="2"/>
    <x v="3"/>
    <n v="36685"/>
  </r>
  <r>
    <x v="24"/>
    <x v="0"/>
    <x v="2"/>
    <x v="4"/>
    <n v="60095"/>
  </r>
  <r>
    <x v="24"/>
    <x v="0"/>
    <x v="3"/>
    <x v="4"/>
    <n v="5652"/>
  </r>
  <r>
    <x v="24"/>
    <x v="0"/>
    <x v="3"/>
    <x v="6"/>
    <n v="2743"/>
  </r>
  <r>
    <x v="24"/>
    <x v="0"/>
    <x v="6"/>
    <x v="3"/>
    <n v="5411"/>
  </r>
  <r>
    <x v="24"/>
    <x v="0"/>
    <x v="6"/>
    <x v="4"/>
    <n v="1220"/>
  </r>
  <r>
    <x v="24"/>
    <x v="2"/>
    <x v="0"/>
    <x v="0"/>
    <n v="29104"/>
  </r>
  <r>
    <x v="24"/>
    <x v="2"/>
    <x v="0"/>
    <x v="2"/>
    <n v="9744"/>
  </r>
  <r>
    <x v="24"/>
    <x v="2"/>
    <x v="2"/>
    <x v="0"/>
    <n v="85380"/>
  </r>
  <r>
    <x v="24"/>
    <x v="2"/>
    <x v="2"/>
    <x v="1"/>
    <n v="99357"/>
  </r>
  <r>
    <x v="24"/>
    <x v="2"/>
    <x v="2"/>
    <x v="2"/>
    <n v="91967"/>
  </r>
  <r>
    <x v="25"/>
    <x v="0"/>
    <x v="0"/>
    <x v="0"/>
    <n v="117369"/>
  </r>
  <r>
    <x v="25"/>
    <x v="0"/>
    <x v="0"/>
    <x v="1"/>
    <n v="44046"/>
  </r>
  <r>
    <x v="25"/>
    <x v="0"/>
    <x v="0"/>
    <x v="2"/>
    <n v="53917"/>
  </r>
  <r>
    <x v="25"/>
    <x v="0"/>
    <x v="1"/>
    <x v="0"/>
    <n v="370042"/>
  </r>
  <r>
    <x v="25"/>
    <x v="0"/>
    <x v="1"/>
    <x v="2"/>
    <n v="135789"/>
  </r>
  <r>
    <x v="25"/>
    <x v="0"/>
    <x v="1"/>
    <x v="4"/>
    <n v="150000"/>
  </r>
  <r>
    <x v="25"/>
    <x v="0"/>
    <x v="2"/>
    <x v="0"/>
    <n v="450402"/>
  </r>
  <r>
    <x v="25"/>
    <x v="0"/>
    <x v="2"/>
    <x v="1"/>
    <n v="740118"/>
  </r>
  <r>
    <x v="25"/>
    <x v="0"/>
    <x v="2"/>
    <x v="2"/>
    <n v="661444"/>
  </r>
  <r>
    <x v="25"/>
    <x v="0"/>
    <x v="2"/>
    <x v="3"/>
    <n v="10000"/>
  </r>
  <r>
    <x v="25"/>
    <x v="0"/>
    <x v="2"/>
    <x v="4"/>
    <n v="558637"/>
  </r>
  <r>
    <x v="25"/>
    <x v="0"/>
    <x v="4"/>
    <x v="0"/>
    <n v="22430"/>
  </r>
  <r>
    <x v="25"/>
    <x v="0"/>
    <x v="4"/>
    <x v="2"/>
    <n v="6090"/>
  </r>
  <r>
    <x v="25"/>
    <x v="1"/>
    <x v="1"/>
    <x v="4"/>
    <n v="22000"/>
  </r>
  <r>
    <x v="25"/>
    <x v="2"/>
    <x v="2"/>
    <x v="0"/>
    <n v="241822"/>
  </r>
  <r>
    <x v="25"/>
    <x v="2"/>
    <x v="2"/>
    <x v="1"/>
    <n v="26800"/>
  </r>
  <r>
    <x v="25"/>
    <x v="2"/>
    <x v="2"/>
    <x v="2"/>
    <n v="111646"/>
  </r>
  <r>
    <x v="26"/>
    <x v="0"/>
    <x v="0"/>
    <x v="0"/>
    <n v="66880"/>
  </r>
  <r>
    <x v="26"/>
    <x v="0"/>
    <x v="0"/>
    <x v="2"/>
    <n v="25516"/>
  </r>
  <r>
    <x v="26"/>
    <x v="0"/>
    <x v="1"/>
    <x v="4"/>
    <n v="87453"/>
  </r>
  <r>
    <x v="26"/>
    <x v="0"/>
    <x v="2"/>
    <x v="0"/>
    <n v="116434"/>
  </r>
  <r>
    <x v="26"/>
    <x v="0"/>
    <x v="2"/>
    <x v="1"/>
    <n v="126331"/>
  </r>
  <r>
    <x v="26"/>
    <x v="0"/>
    <x v="2"/>
    <x v="2"/>
    <n v="103330"/>
  </r>
  <r>
    <x v="26"/>
    <x v="0"/>
    <x v="2"/>
    <x v="3"/>
    <n v="10402"/>
  </r>
  <r>
    <x v="26"/>
    <x v="0"/>
    <x v="2"/>
    <x v="4"/>
    <n v="19430"/>
  </r>
  <r>
    <x v="26"/>
    <x v="0"/>
    <x v="4"/>
    <x v="0"/>
    <n v="5400"/>
  </r>
  <r>
    <x v="26"/>
    <x v="0"/>
    <x v="4"/>
    <x v="2"/>
    <n v="2416"/>
  </r>
  <r>
    <x v="26"/>
    <x v="0"/>
    <x v="4"/>
    <x v="4"/>
    <n v="1500"/>
  </r>
  <r>
    <x v="26"/>
    <x v="2"/>
    <x v="1"/>
    <x v="4"/>
    <n v="50620"/>
  </r>
  <r>
    <x v="27"/>
    <x v="0"/>
    <x v="2"/>
    <x v="4"/>
    <n v="72737"/>
  </r>
  <r>
    <x v="28"/>
    <x v="0"/>
    <x v="0"/>
    <x v="5"/>
    <n v="60"/>
  </r>
  <r>
    <x v="28"/>
    <x v="0"/>
    <x v="0"/>
    <x v="0"/>
    <n v="922277"/>
  </r>
  <r>
    <x v="28"/>
    <x v="0"/>
    <x v="0"/>
    <x v="1"/>
    <n v="283734"/>
  </r>
  <r>
    <x v="28"/>
    <x v="0"/>
    <x v="0"/>
    <x v="2"/>
    <n v="413026"/>
  </r>
  <r>
    <x v="28"/>
    <x v="0"/>
    <x v="0"/>
    <x v="3"/>
    <n v="13150"/>
  </r>
  <r>
    <x v="28"/>
    <x v="0"/>
    <x v="0"/>
    <x v="4"/>
    <n v="6750"/>
  </r>
  <r>
    <x v="28"/>
    <x v="0"/>
    <x v="0"/>
    <x v="6"/>
    <n v="4500"/>
  </r>
  <r>
    <x v="28"/>
    <x v="0"/>
    <x v="1"/>
    <x v="0"/>
    <n v="2836064"/>
  </r>
  <r>
    <x v="28"/>
    <x v="0"/>
    <x v="1"/>
    <x v="1"/>
    <n v="366257"/>
  </r>
  <r>
    <x v="28"/>
    <x v="0"/>
    <x v="1"/>
    <x v="2"/>
    <n v="1173525"/>
  </r>
  <r>
    <x v="28"/>
    <x v="0"/>
    <x v="1"/>
    <x v="3"/>
    <n v="23713"/>
  </r>
  <r>
    <x v="28"/>
    <x v="0"/>
    <x v="1"/>
    <x v="6"/>
    <n v="5551"/>
  </r>
  <r>
    <x v="28"/>
    <x v="0"/>
    <x v="2"/>
    <x v="5"/>
    <n v="60843"/>
  </r>
  <r>
    <x v="28"/>
    <x v="0"/>
    <x v="2"/>
    <x v="0"/>
    <n v="8967524"/>
  </r>
  <r>
    <x v="28"/>
    <x v="0"/>
    <x v="2"/>
    <x v="1"/>
    <n v="5287899"/>
  </r>
  <r>
    <x v="28"/>
    <x v="0"/>
    <x v="2"/>
    <x v="2"/>
    <n v="5819650"/>
  </r>
  <r>
    <x v="28"/>
    <x v="0"/>
    <x v="2"/>
    <x v="3"/>
    <n v="101839"/>
  </r>
  <r>
    <x v="28"/>
    <x v="0"/>
    <x v="2"/>
    <x v="4"/>
    <n v="614000"/>
  </r>
  <r>
    <x v="28"/>
    <x v="0"/>
    <x v="2"/>
    <x v="6"/>
    <n v="17171"/>
  </r>
  <r>
    <x v="28"/>
    <x v="0"/>
    <x v="3"/>
    <x v="4"/>
    <n v="2143"/>
  </r>
  <r>
    <x v="28"/>
    <x v="0"/>
    <x v="4"/>
    <x v="0"/>
    <n v="48479"/>
  </r>
  <r>
    <x v="28"/>
    <x v="0"/>
    <x v="4"/>
    <x v="2"/>
    <n v="11137"/>
  </r>
  <r>
    <x v="28"/>
    <x v="1"/>
    <x v="2"/>
    <x v="1"/>
    <n v="348464"/>
  </r>
  <r>
    <x v="28"/>
    <x v="1"/>
    <x v="2"/>
    <x v="2"/>
    <n v="207418"/>
  </r>
  <r>
    <x v="28"/>
    <x v="2"/>
    <x v="2"/>
    <x v="1"/>
    <n v="1596480"/>
  </r>
  <r>
    <x v="28"/>
    <x v="2"/>
    <x v="2"/>
    <x v="2"/>
    <n v="939937"/>
  </r>
  <r>
    <x v="28"/>
    <x v="3"/>
    <x v="2"/>
    <x v="0"/>
    <n v="318362"/>
  </r>
  <r>
    <x v="28"/>
    <x v="3"/>
    <x v="2"/>
    <x v="1"/>
    <n v="126961"/>
  </r>
  <r>
    <x v="28"/>
    <x v="3"/>
    <x v="2"/>
    <x v="2"/>
    <n v="252896"/>
  </r>
  <r>
    <x v="28"/>
    <x v="3"/>
    <x v="3"/>
    <x v="0"/>
    <n v="1448"/>
  </r>
  <r>
    <x v="28"/>
    <x v="3"/>
    <x v="3"/>
    <x v="2"/>
    <n v="333"/>
  </r>
  <r>
    <x v="29"/>
    <x v="0"/>
    <x v="0"/>
    <x v="0"/>
    <n v="297916"/>
  </r>
  <r>
    <x v="29"/>
    <x v="0"/>
    <x v="0"/>
    <x v="1"/>
    <n v="265859"/>
  </r>
  <r>
    <x v="29"/>
    <x v="0"/>
    <x v="0"/>
    <x v="2"/>
    <n v="202479"/>
  </r>
  <r>
    <x v="29"/>
    <x v="0"/>
    <x v="0"/>
    <x v="3"/>
    <n v="5000"/>
  </r>
  <r>
    <x v="29"/>
    <x v="0"/>
    <x v="0"/>
    <x v="4"/>
    <n v="27500"/>
  </r>
  <r>
    <x v="29"/>
    <x v="0"/>
    <x v="9"/>
    <x v="0"/>
    <n v="46519"/>
  </r>
  <r>
    <x v="29"/>
    <x v="0"/>
    <x v="9"/>
    <x v="2"/>
    <n v="16595"/>
  </r>
  <r>
    <x v="29"/>
    <x v="0"/>
    <x v="7"/>
    <x v="0"/>
    <n v="40"/>
  </r>
  <r>
    <x v="29"/>
    <x v="0"/>
    <x v="7"/>
    <x v="1"/>
    <n v="425294"/>
  </r>
  <r>
    <x v="29"/>
    <x v="0"/>
    <x v="7"/>
    <x v="2"/>
    <n v="312975"/>
  </r>
  <r>
    <x v="29"/>
    <x v="0"/>
    <x v="1"/>
    <x v="0"/>
    <n v="5049032"/>
  </r>
  <r>
    <x v="29"/>
    <x v="0"/>
    <x v="1"/>
    <x v="1"/>
    <n v="43915"/>
  </r>
  <r>
    <x v="29"/>
    <x v="0"/>
    <x v="1"/>
    <x v="2"/>
    <n v="1942539"/>
  </r>
  <r>
    <x v="29"/>
    <x v="0"/>
    <x v="1"/>
    <x v="3"/>
    <n v="35000"/>
  </r>
  <r>
    <x v="29"/>
    <x v="0"/>
    <x v="1"/>
    <x v="4"/>
    <n v="20000"/>
  </r>
  <r>
    <x v="29"/>
    <x v="0"/>
    <x v="2"/>
    <x v="0"/>
    <n v="8265832"/>
  </r>
  <r>
    <x v="29"/>
    <x v="0"/>
    <x v="2"/>
    <x v="1"/>
    <n v="6654976"/>
  </r>
  <r>
    <x v="29"/>
    <x v="0"/>
    <x v="2"/>
    <x v="2"/>
    <n v="7463716"/>
  </r>
  <r>
    <x v="29"/>
    <x v="0"/>
    <x v="2"/>
    <x v="3"/>
    <n v="50000"/>
  </r>
  <r>
    <x v="29"/>
    <x v="0"/>
    <x v="2"/>
    <x v="4"/>
    <n v="50000"/>
  </r>
  <r>
    <x v="29"/>
    <x v="0"/>
    <x v="2"/>
    <x v="6"/>
    <n v="10000"/>
  </r>
  <r>
    <x v="29"/>
    <x v="0"/>
    <x v="3"/>
    <x v="0"/>
    <n v="10915"/>
  </r>
  <r>
    <x v="29"/>
    <x v="0"/>
    <x v="3"/>
    <x v="1"/>
    <n v="4616"/>
  </r>
  <r>
    <x v="29"/>
    <x v="0"/>
    <x v="3"/>
    <x v="2"/>
    <n v="3271"/>
  </r>
  <r>
    <x v="29"/>
    <x v="0"/>
    <x v="6"/>
    <x v="3"/>
    <n v="5000"/>
  </r>
  <r>
    <x v="29"/>
    <x v="0"/>
    <x v="4"/>
    <x v="0"/>
    <n v="95800"/>
  </r>
  <r>
    <x v="29"/>
    <x v="0"/>
    <x v="4"/>
    <x v="2"/>
    <n v="35529"/>
  </r>
  <r>
    <x v="29"/>
    <x v="2"/>
    <x v="9"/>
    <x v="0"/>
    <n v="180001"/>
  </r>
  <r>
    <x v="29"/>
    <x v="2"/>
    <x v="9"/>
    <x v="2"/>
    <n v="60290"/>
  </r>
  <r>
    <x v="29"/>
    <x v="2"/>
    <x v="2"/>
    <x v="0"/>
    <n v="1828594"/>
  </r>
  <r>
    <x v="29"/>
    <x v="2"/>
    <x v="2"/>
    <x v="2"/>
    <n v="652872"/>
  </r>
  <r>
    <x v="29"/>
    <x v="2"/>
    <x v="2"/>
    <x v="4"/>
    <n v="16388"/>
  </r>
  <r>
    <x v="29"/>
    <x v="2"/>
    <x v="3"/>
    <x v="0"/>
    <n v="14972"/>
  </r>
  <r>
    <x v="29"/>
    <x v="2"/>
    <x v="3"/>
    <x v="2"/>
    <n v="5056"/>
  </r>
  <r>
    <x v="29"/>
    <x v="2"/>
    <x v="3"/>
    <x v="4"/>
    <n v="1744"/>
  </r>
  <r>
    <x v="29"/>
    <x v="2"/>
    <x v="3"/>
    <x v="6"/>
    <n v="3100"/>
  </r>
  <r>
    <x v="30"/>
    <x v="0"/>
    <x v="0"/>
    <x v="0"/>
    <n v="168196"/>
  </r>
  <r>
    <x v="30"/>
    <x v="0"/>
    <x v="0"/>
    <x v="1"/>
    <n v="58344"/>
  </r>
  <r>
    <x v="30"/>
    <x v="0"/>
    <x v="0"/>
    <x v="2"/>
    <n v="73972"/>
  </r>
  <r>
    <x v="30"/>
    <x v="0"/>
    <x v="0"/>
    <x v="3"/>
    <n v="750"/>
  </r>
  <r>
    <x v="30"/>
    <x v="0"/>
    <x v="0"/>
    <x v="4"/>
    <n v="250"/>
  </r>
  <r>
    <x v="30"/>
    <x v="0"/>
    <x v="0"/>
    <x v="6"/>
    <n v="500"/>
  </r>
  <r>
    <x v="30"/>
    <x v="0"/>
    <x v="7"/>
    <x v="1"/>
    <n v="104167"/>
  </r>
  <r>
    <x v="30"/>
    <x v="0"/>
    <x v="7"/>
    <x v="2"/>
    <n v="87235"/>
  </r>
  <r>
    <x v="30"/>
    <x v="0"/>
    <x v="1"/>
    <x v="0"/>
    <n v="828783"/>
  </r>
  <r>
    <x v="30"/>
    <x v="0"/>
    <x v="1"/>
    <x v="1"/>
    <n v="22292"/>
  </r>
  <r>
    <x v="30"/>
    <x v="0"/>
    <x v="1"/>
    <x v="2"/>
    <n v="299397"/>
  </r>
  <r>
    <x v="30"/>
    <x v="0"/>
    <x v="1"/>
    <x v="3"/>
    <n v="750"/>
  </r>
  <r>
    <x v="30"/>
    <x v="0"/>
    <x v="1"/>
    <x v="4"/>
    <n v="1288036"/>
  </r>
  <r>
    <x v="30"/>
    <x v="0"/>
    <x v="1"/>
    <x v="6"/>
    <n v="300"/>
  </r>
  <r>
    <x v="30"/>
    <x v="0"/>
    <x v="2"/>
    <x v="0"/>
    <n v="1782387"/>
  </r>
  <r>
    <x v="30"/>
    <x v="0"/>
    <x v="2"/>
    <x v="1"/>
    <n v="621772"/>
  </r>
  <r>
    <x v="30"/>
    <x v="0"/>
    <x v="2"/>
    <x v="2"/>
    <n v="1114775"/>
  </r>
  <r>
    <x v="30"/>
    <x v="0"/>
    <x v="2"/>
    <x v="3"/>
    <n v="150"/>
  </r>
  <r>
    <x v="30"/>
    <x v="0"/>
    <x v="2"/>
    <x v="4"/>
    <n v="357130"/>
  </r>
  <r>
    <x v="30"/>
    <x v="0"/>
    <x v="5"/>
    <x v="4"/>
    <n v="292347"/>
  </r>
  <r>
    <x v="30"/>
    <x v="0"/>
    <x v="3"/>
    <x v="0"/>
    <n v="42006"/>
  </r>
  <r>
    <x v="30"/>
    <x v="0"/>
    <x v="3"/>
    <x v="2"/>
    <n v="9933"/>
  </r>
  <r>
    <x v="30"/>
    <x v="0"/>
    <x v="3"/>
    <x v="4"/>
    <n v="1500"/>
  </r>
  <r>
    <x v="30"/>
    <x v="0"/>
    <x v="3"/>
    <x v="6"/>
    <n v="750"/>
  </r>
  <r>
    <x v="30"/>
    <x v="0"/>
    <x v="6"/>
    <x v="3"/>
    <n v="7500"/>
  </r>
  <r>
    <x v="30"/>
    <x v="0"/>
    <x v="4"/>
    <x v="0"/>
    <n v="42006"/>
  </r>
  <r>
    <x v="30"/>
    <x v="0"/>
    <x v="4"/>
    <x v="2"/>
    <n v="9933"/>
  </r>
  <r>
    <x v="30"/>
    <x v="2"/>
    <x v="2"/>
    <x v="1"/>
    <n v="452701"/>
  </r>
  <r>
    <x v="30"/>
    <x v="2"/>
    <x v="2"/>
    <x v="2"/>
    <n v="287020"/>
  </r>
  <r>
    <x v="30"/>
    <x v="2"/>
    <x v="2"/>
    <x v="3"/>
    <n v="9632"/>
  </r>
  <r>
    <x v="30"/>
    <x v="2"/>
    <x v="2"/>
    <x v="4"/>
    <n v="105144"/>
  </r>
  <r>
    <x v="31"/>
    <x v="0"/>
    <x v="0"/>
    <x v="0"/>
    <n v="241744"/>
  </r>
  <r>
    <x v="31"/>
    <x v="0"/>
    <x v="0"/>
    <x v="1"/>
    <n v="69541"/>
  </r>
  <r>
    <x v="31"/>
    <x v="0"/>
    <x v="0"/>
    <x v="2"/>
    <n v="124074"/>
  </r>
  <r>
    <x v="31"/>
    <x v="0"/>
    <x v="0"/>
    <x v="3"/>
    <n v="3915"/>
  </r>
  <r>
    <x v="31"/>
    <x v="0"/>
    <x v="0"/>
    <x v="4"/>
    <n v="21100"/>
  </r>
  <r>
    <x v="31"/>
    <x v="0"/>
    <x v="0"/>
    <x v="6"/>
    <n v="750"/>
  </r>
  <r>
    <x v="31"/>
    <x v="0"/>
    <x v="7"/>
    <x v="1"/>
    <n v="42292"/>
  </r>
  <r>
    <x v="31"/>
    <x v="0"/>
    <x v="7"/>
    <x v="2"/>
    <n v="36036"/>
  </r>
  <r>
    <x v="31"/>
    <x v="0"/>
    <x v="1"/>
    <x v="0"/>
    <n v="409554"/>
  </r>
  <r>
    <x v="31"/>
    <x v="0"/>
    <x v="1"/>
    <x v="1"/>
    <n v="109358"/>
  </r>
  <r>
    <x v="31"/>
    <x v="0"/>
    <x v="1"/>
    <x v="2"/>
    <n v="215603"/>
  </r>
  <r>
    <x v="31"/>
    <x v="0"/>
    <x v="1"/>
    <x v="3"/>
    <n v="11200"/>
  </r>
  <r>
    <x v="31"/>
    <x v="0"/>
    <x v="1"/>
    <x v="4"/>
    <n v="517156"/>
  </r>
  <r>
    <x v="31"/>
    <x v="0"/>
    <x v="1"/>
    <x v="6"/>
    <n v="900"/>
  </r>
  <r>
    <x v="31"/>
    <x v="0"/>
    <x v="2"/>
    <x v="5"/>
    <n v="2800"/>
  </r>
  <r>
    <x v="31"/>
    <x v="0"/>
    <x v="2"/>
    <x v="0"/>
    <n v="2170938"/>
  </r>
  <r>
    <x v="31"/>
    <x v="0"/>
    <x v="2"/>
    <x v="1"/>
    <n v="1003867"/>
  </r>
  <r>
    <x v="31"/>
    <x v="0"/>
    <x v="2"/>
    <x v="2"/>
    <n v="1439025"/>
  </r>
  <r>
    <x v="31"/>
    <x v="0"/>
    <x v="2"/>
    <x v="3"/>
    <n v="4400"/>
  </r>
  <r>
    <x v="31"/>
    <x v="0"/>
    <x v="2"/>
    <x v="4"/>
    <n v="6900"/>
  </r>
  <r>
    <x v="31"/>
    <x v="0"/>
    <x v="2"/>
    <x v="6"/>
    <n v="1900"/>
  </r>
  <r>
    <x v="31"/>
    <x v="0"/>
    <x v="2"/>
    <x v="7"/>
    <n v="14299"/>
  </r>
  <r>
    <x v="31"/>
    <x v="0"/>
    <x v="3"/>
    <x v="0"/>
    <n v="57047"/>
  </r>
  <r>
    <x v="31"/>
    <x v="0"/>
    <x v="3"/>
    <x v="2"/>
    <n v="13340"/>
  </r>
  <r>
    <x v="31"/>
    <x v="0"/>
    <x v="3"/>
    <x v="4"/>
    <n v="1000"/>
  </r>
  <r>
    <x v="31"/>
    <x v="0"/>
    <x v="4"/>
    <x v="0"/>
    <n v="26355"/>
  </r>
  <r>
    <x v="31"/>
    <x v="0"/>
    <x v="4"/>
    <x v="2"/>
    <n v="6162"/>
  </r>
  <r>
    <x v="31"/>
    <x v="2"/>
    <x v="2"/>
    <x v="1"/>
    <n v="363767"/>
  </r>
  <r>
    <x v="31"/>
    <x v="2"/>
    <x v="2"/>
    <x v="2"/>
    <n v="247188"/>
  </r>
  <r>
    <x v="32"/>
    <x v="0"/>
    <x v="0"/>
    <x v="0"/>
    <n v="283750"/>
  </r>
  <r>
    <x v="32"/>
    <x v="0"/>
    <x v="0"/>
    <x v="1"/>
    <n v="126744"/>
  </r>
  <r>
    <x v="32"/>
    <x v="0"/>
    <x v="0"/>
    <x v="2"/>
    <n v="156562"/>
  </r>
  <r>
    <x v="32"/>
    <x v="0"/>
    <x v="0"/>
    <x v="3"/>
    <n v="2500"/>
  </r>
  <r>
    <x v="32"/>
    <x v="0"/>
    <x v="0"/>
    <x v="4"/>
    <n v="3000"/>
  </r>
  <r>
    <x v="32"/>
    <x v="0"/>
    <x v="0"/>
    <x v="6"/>
    <n v="1000"/>
  </r>
  <r>
    <x v="32"/>
    <x v="0"/>
    <x v="9"/>
    <x v="0"/>
    <n v="70531"/>
  </r>
  <r>
    <x v="32"/>
    <x v="0"/>
    <x v="9"/>
    <x v="2"/>
    <n v="58719"/>
  </r>
  <r>
    <x v="32"/>
    <x v="0"/>
    <x v="7"/>
    <x v="1"/>
    <n v="128488"/>
  </r>
  <r>
    <x v="32"/>
    <x v="0"/>
    <x v="7"/>
    <x v="2"/>
    <n v="111283"/>
  </r>
  <r>
    <x v="32"/>
    <x v="0"/>
    <x v="1"/>
    <x v="0"/>
    <n v="2000058"/>
  </r>
  <r>
    <x v="32"/>
    <x v="0"/>
    <x v="1"/>
    <x v="2"/>
    <n v="736785"/>
  </r>
  <r>
    <x v="32"/>
    <x v="0"/>
    <x v="1"/>
    <x v="3"/>
    <n v="6000"/>
  </r>
  <r>
    <x v="32"/>
    <x v="0"/>
    <x v="1"/>
    <x v="4"/>
    <n v="200000"/>
  </r>
  <r>
    <x v="32"/>
    <x v="0"/>
    <x v="1"/>
    <x v="6"/>
    <n v="2700"/>
  </r>
  <r>
    <x v="32"/>
    <x v="0"/>
    <x v="2"/>
    <x v="5"/>
    <n v="5500"/>
  </r>
  <r>
    <x v="32"/>
    <x v="0"/>
    <x v="2"/>
    <x v="0"/>
    <n v="2743719"/>
  </r>
  <r>
    <x v="32"/>
    <x v="0"/>
    <x v="2"/>
    <x v="1"/>
    <n v="1681528"/>
  </r>
  <r>
    <x v="32"/>
    <x v="0"/>
    <x v="2"/>
    <x v="2"/>
    <n v="2117178"/>
  </r>
  <r>
    <x v="32"/>
    <x v="0"/>
    <x v="2"/>
    <x v="3"/>
    <n v="13812"/>
  </r>
  <r>
    <x v="32"/>
    <x v="0"/>
    <x v="2"/>
    <x v="4"/>
    <n v="293000"/>
  </r>
  <r>
    <x v="32"/>
    <x v="0"/>
    <x v="2"/>
    <x v="6"/>
    <n v="1500"/>
  </r>
  <r>
    <x v="32"/>
    <x v="0"/>
    <x v="3"/>
    <x v="0"/>
    <n v="56785"/>
  </r>
  <r>
    <x v="32"/>
    <x v="0"/>
    <x v="3"/>
    <x v="2"/>
    <n v="12967"/>
  </r>
  <r>
    <x v="32"/>
    <x v="0"/>
    <x v="4"/>
    <x v="0"/>
    <n v="78079"/>
  </r>
  <r>
    <x v="32"/>
    <x v="0"/>
    <x v="4"/>
    <x v="2"/>
    <n v="18214"/>
  </r>
  <r>
    <x v="32"/>
    <x v="2"/>
    <x v="2"/>
    <x v="0"/>
    <n v="764204"/>
  </r>
  <r>
    <x v="32"/>
    <x v="2"/>
    <x v="2"/>
    <x v="2"/>
    <n v="254942"/>
  </r>
  <r>
    <x v="32"/>
    <x v="2"/>
    <x v="3"/>
    <x v="0"/>
    <n v="17102"/>
  </r>
  <r>
    <x v="32"/>
    <x v="2"/>
    <x v="3"/>
    <x v="2"/>
    <n v="3884"/>
  </r>
  <r>
    <x v="33"/>
    <x v="0"/>
    <x v="0"/>
    <x v="0"/>
    <n v="49081"/>
  </r>
  <r>
    <x v="33"/>
    <x v="0"/>
    <x v="0"/>
    <x v="1"/>
    <n v="30036"/>
  </r>
  <r>
    <x v="33"/>
    <x v="0"/>
    <x v="0"/>
    <x v="2"/>
    <n v="40357"/>
  </r>
  <r>
    <x v="33"/>
    <x v="0"/>
    <x v="1"/>
    <x v="0"/>
    <n v="160767"/>
  </r>
  <r>
    <x v="33"/>
    <x v="0"/>
    <x v="1"/>
    <x v="2"/>
    <n v="61888"/>
  </r>
  <r>
    <x v="33"/>
    <x v="0"/>
    <x v="1"/>
    <x v="3"/>
    <n v="600"/>
  </r>
  <r>
    <x v="33"/>
    <x v="0"/>
    <x v="1"/>
    <x v="4"/>
    <n v="82500"/>
  </r>
  <r>
    <x v="33"/>
    <x v="0"/>
    <x v="2"/>
    <x v="0"/>
    <n v="197411"/>
  </r>
  <r>
    <x v="33"/>
    <x v="0"/>
    <x v="2"/>
    <x v="1"/>
    <n v="370066"/>
  </r>
  <r>
    <x v="33"/>
    <x v="0"/>
    <x v="2"/>
    <x v="2"/>
    <n v="318057"/>
  </r>
  <r>
    <x v="33"/>
    <x v="0"/>
    <x v="2"/>
    <x v="4"/>
    <n v="500"/>
  </r>
  <r>
    <x v="33"/>
    <x v="0"/>
    <x v="2"/>
    <x v="6"/>
    <n v="500"/>
  </r>
  <r>
    <x v="33"/>
    <x v="0"/>
    <x v="6"/>
    <x v="1"/>
    <n v="6541"/>
  </r>
  <r>
    <x v="33"/>
    <x v="0"/>
    <x v="6"/>
    <x v="2"/>
    <n v="2616"/>
  </r>
  <r>
    <x v="33"/>
    <x v="0"/>
    <x v="4"/>
    <x v="0"/>
    <n v="8240"/>
  </r>
  <r>
    <x v="33"/>
    <x v="0"/>
    <x v="4"/>
    <x v="2"/>
    <n v="1960"/>
  </r>
  <r>
    <x v="33"/>
    <x v="1"/>
    <x v="2"/>
    <x v="3"/>
    <n v="12437"/>
  </r>
  <r>
    <x v="33"/>
    <x v="1"/>
    <x v="3"/>
    <x v="4"/>
    <n v="732"/>
  </r>
  <r>
    <x v="33"/>
    <x v="2"/>
    <x v="2"/>
    <x v="0"/>
    <n v="134946"/>
  </r>
  <r>
    <x v="33"/>
    <x v="2"/>
    <x v="2"/>
    <x v="2"/>
    <n v="51761"/>
  </r>
  <r>
    <x v="33"/>
    <x v="2"/>
    <x v="2"/>
    <x v="3"/>
    <n v="332"/>
  </r>
  <r>
    <x v="34"/>
    <x v="0"/>
    <x v="0"/>
    <x v="0"/>
    <n v="47625"/>
  </r>
  <r>
    <x v="34"/>
    <x v="0"/>
    <x v="0"/>
    <x v="1"/>
    <n v="27426"/>
  </r>
  <r>
    <x v="34"/>
    <x v="0"/>
    <x v="0"/>
    <x v="2"/>
    <n v="29298"/>
  </r>
  <r>
    <x v="34"/>
    <x v="0"/>
    <x v="0"/>
    <x v="3"/>
    <n v="1600"/>
  </r>
  <r>
    <x v="34"/>
    <x v="0"/>
    <x v="0"/>
    <x v="4"/>
    <n v="2500"/>
  </r>
  <r>
    <x v="34"/>
    <x v="0"/>
    <x v="0"/>
    <x v="6"/>
    <n v="1000"/>
  </r>
  <r>
    <x v="34"/>
    <x v="0"/>
    <x v="7"/>
    <x v="1"/>
    <n v="15061"/>
  </r>
  <r>
    <x v="34"/>
    <x v="0"/>
    <x v="7"/>
    <x v="2"/>
    <n v="10275"/>
  </r>
  <r>
    <x v="34"/>
    <x v="0"/>
    <x v="1"/>
    <x v="0"/>
    <n v="248119"/>
  </r>
  <r>
    <x v="34"/>
    <x v="0"/>
    <x v="1"/>
    <x v="2"/>
    <n v="94324"/>
  </r>
  <r>
    <x v="34"/>
    <x v="0"/>
    <x v="1"/>
    <x v="3"/>
    <n v="3700"/>
  </r>
  <r>
    <x v="34"/>
    <x v="0"/>
    <x v="1"/>
    <x v="4"/>
    <n v="193950"/>
  </r>
  <r>
    <x v="34"/>
    <x v="0"/>
    <x v="2"/>
    <x v="0"/>
    <n v="304795"/>
  </r>
  <r>
    <x v="34"/>
    <x v="0"/>
    <x v="2"/>
    <x v="1"/>
    <n v="486087"/>
  </r>
  <r>
    <x v="34"/>
    <x v="0"/>
    <x v="2"/>
    <x v="2"/>
    <n v="449603"/>
  </r>
  <r>
    <x v="34"/>
    <x v="0"/>
    <x v="2"/>
    <x v="3"/>
    <n v="12100"/>
  </r>
  <r>
    <x v="34"/>
    <x v="0"/>
    <x v="2"/>
    <x v="4"/>
    <n v="124176"/>
  </r>
  <r>
    <x v="34"/>
    <x v="0"/>
    <x v="2"/>
    <x v="6"/>
    <n v="1000"/>
  </r>
  <r>
    <x v="34"/>
    <x v="0"/>
    <x v="3"/>
    <x v="0"/>
    <n v="9502"/>
  </r>
  <r>
    <x v="34"/>
    <x v="0"/>
    <x v="3"/>
    <x v="2"/>
    <n v="4537"/>
  </r>
  <r>
    <x v="34"/>
    <x v="0"/>
    <x v="4"/>
    <x v="0"/>
    <n v="9502"/>
  </r>
  <r>
    <x v="34"/>
    <x v="2"/>
    <x v="2"/>
    <x v="0"/>
    <n v="157017"/>
  </r>
  <r>
    <x v="34"/>
    <x v="2"/>
    <x v="2"/>
    <x v="1"/>
    <n v="3507"/>
  </r>
  <r>
    <x v="34"/>
    <x v="2"/>
    <x v="2"/>
    <x v="2"/>
    <n v="59704"/>
  </r>
  <r>
    <x v="34"/>
    <x v="2"/>
    <x v="2"/>
    <x v="4"/>
    <n v="6397"/>
  </r>
  <r>
    <x v="34"/>
    <x v="2"/>
    <x v="3"/>
    <x v="0"/>
    <n v="5234"/>
  </r>
  <r>
    <x v="34"/>
    <x v="2"/>
    <x v="3"/>
    <x v="2"/>
    <n v="1207"/>
  </r>
  <r>
    <x v="35"/>
    <x v="0"/>
    <x v="0"/>
    <x v="0"/>
    <n v="107563"/>
  </r>
  <r>
    <x v="35"/>
    <x v="0"/>
    <x v="0"/>
    <x v="1"/>
    <n v="56927"/>
  </r>
  <r>
    <x v="35"/>
    <x v="0"/>
    <x v="0"/>
    <x v="2"/>
    <n v="54041"/>
  </r>
  <r>
    <x v="35"/>
    <x v="0"/>
    <x v="0"/>
    <x v="3"/>
    <n v="8500"/>
  </r>
  <r>
    <x v="35"/>
    <x v="0"/>
    <x v="0"/>
    <x v="4"/>
    <n v="1850"/>
  </r>
  <r>
    <x v="35"/>
    <x v="0"/>
    <x v="0"/>
    <x v="6"/>
    <n v="1000"/>
  </r>
  <r>
    <x v="35"/>
    <x v="0"/>
    <x v="1"/>
    <x v="0"/>
    <n v="886312"/>
  </r>
  <r>
    <x v="35"/>
    <x v="0"/>
    <x v="1"/>
    <x v="2"/>
    <n v="317094"/>
  </r>
  <r>
    <x v="35"/>
    <x v="0"/>
    <x v="1"/>
    <x v="3"/>
    <n v="3640"/>
  </r>
  <r>
    <x v="35"/>
    <x v="0"/>
    <x v="1"/>
    <x v="4"/>
    <n v="6500"/>
  </r>
  <r>
    <x v="35"/>
    <x v="0"/>
    <x v="1"/>
    <x v="6"/>
    <n v="800"/>
  </r>
  <r>
    <x v="35"/>
    <x v="0"/>
    <x v="2"/>
    <x v="5"/>
    <n v="2400"/>
  </r>
  <r>
    <x v="35"/>
    <x v="0"/>
    <x v="2"/>
    <x v="0"/>
    <n v="1136929"/>
  </r>
  <r>
    <x v="35"/>
    <x v="0"/>
    <x v="2"/>
    <x v="1"/>
    <n v="896243"/>
  </r>
  <r>
    <x v="35"/>
    <x v="0"/>
    <x v="2"/>
    <x v="2"/>
    <n v="913039"/>
  </r>
  <r>
    <x v="35"/>
    <x v="0"/>
    <x v="2"/>
    <x v="3"/>
    <n v="22700"/>
  </r>
  <r>
    <x v="35"/>
    <x v="0"/>
    <x v="2"/>
    <x v="4"/>
    <n v="155000"/>
  </r>
  <r>
    <x v="35"/>
    <x v="0"/>
    <x v="3"/>
    <x v="0"/>
    <n v="39878"/>
  </r>
  <r>
    <x v="35"/>
    <x v="0"/>
    <x v="3"/>
    <x v="2"/>
    <n v="1245"/>
  </r>
  <r>
    <x v="35"/>
    <x v="0"/>
    <x v="3"/>
    <x v="3"/>
    <n v="500"/>
  </r>
  <r>
    <x v="35"/>
    <x v="0"/>
    <x v="4"/>
    <x v="0"/>
    <n v="30643"/>
  </r>
  <r>
    <x v="35"/>
    <x v="0"/>
    <x v="4"/>
    <x v="2"/>
    <n v="957"/>
  </r>
  <r>
    <x v="35"/>
    <x v="1"/>
    <x v="2"/>
    <x v="3"/>
    <n v="123344"/>
  </r>
  <r>
    <x v="35"/>
    <x v="2"/>
    <x v="2"/>
    <x v="0"/>
    <n v="64348"/>
  </r>
  <r>
    <x v="35"/>
    <x v="2"/>
    <x v="2"/>
    <x v="1"/>
    <n v="394055"/>
  </r>
  <r>
    <x v="35"/>
    <x v="2"/>
    <x v="2"/>
    <x v="2"/>
    <n v="290001"/>
  </r>
  <r>
    <x v="35"/>
    <x v="2"/>
    <x v="2"/>
    <x v="3"/>
    <n v="22500"/>
  </r>
  <r>
    <x v="35"/>
    <x v="2"/>
    <x v="3"/>
    <x v="0"/>
    <n v="980"/>
  </r>
  <r>
    <x v="35"/>
    <x v="2"/>
    <x v="3"/>
    <x v="2"/>
    <n v="31"/>
  </r>
  <r>
    <x v="36"/>
    <x v="0"/>
    <x v="0"/>
    <x v="0"/>
    <n v="85629"/>
  </r>
  <r>
    <x v="36"/>
    <x v="0"/>
    <x v="0"/>
    <x v="1"/>
    <n v="18426"/>
  </r>
  <r>
    <x v="36"/>
    <x v="0"/>
    <x v="0"/>
    <x v="2"/>
    <n v="32960"/>
  </r>
  <r>
    <x v="36"/>
    <x v="0"/>
    <x v="0"/>
    <x v="3"/>
    <n v="400"/>
  </r>
  <r>
    <x v="36"/>
    <x v="0"/>
    <x v="0"/>
    <x v="6"/>
    <n v="500"/>
  </r>
  <r>
    <x v="36"/>
    <x v="0"/>
    <x v="10"/>
    <x v="4"/>
    <n v="2500"/>
  </r>
  <r>
    <x v="36"/>
    <x v="0"/>
    <x v="10"/>
    <x v="6"/>
    <n v="500"/>
  </r>
  <r>
    <x v="36"/>
    <x v="0"/>
    <x v="1"/>
    <x v="0"/>
    <n v="103834"/>
  </r>
  <r>
    <x v="36"/>
    <x v="0"/>
    <x v="1"/>
    <x v="1"/>
    <n v="61363"/>
  </r>
  <r>
    <x v="36"/>
    <x v="0"/>
    <x v="1"/>
    <x v="2"/>
    <n v="62589"/>
  </r>
  <r>
    <x v="36"/>
    <x v="0"/>
    <x v="1"/>
    <x v="4"/>
    <n v="75000"/>
  </r>
  <r>
    <x v="36"/>
    <x v="0"/>
    <x v="2"/>
    <x v="0"/>
    <n v="274136"/>
  </r>
  <r>
    <x v="36"/>
    <x v="0"/>
    <x v="2"/>
    <x v="1"/>
    <n v="190658"/>
  </r>
  <r>
    <x v="36"/>
    <x v="0"/>
    <x v="2"/>
    <x v="2"/>
    <n v="226936"/>
  </r>
  <r>
    <x v="36"/>
    <x v="0"/>
    <x v="2"/>
    <x v="3"/>
    <n v="85000"/>
  </r>
  <r>
    <x v="36"/>
    <x v="0"/>
    <x v="2"/>
    <x v="4"/>
    <n v="25000"/>
  </r>
  <r>
    <x v="36"/>
    <x v="0"/>
    <x v="3"/>
    <x v="0"/>
    <n v="4000"/>
  </r>
  <r>
    <x v="36"/>
    <x v="0"/>
    <x v="3"/>
    <x v="1"/>
    <n v="7499"/>
  </r>
  <r>
    <x v="36"/>
    <x v="0"/>
    <x v="3"/>
    <x v="2"/>
    <n v="889"/>
  </r>
  <r>
    <x v="36"/>
    <x v="0"/>
    <x v="3"/>
    <x v="3"/>
    <n v="500"/>
  </r>
  <r>
    <x v="36"/>
    <x v="0"/>
    <x v="3"/>
    <x v="4"/>
    <n v="5000"/>
  </r>
  <r>
    <x v="36"/>
    <x v="0"/>
    <x v="4"/>
    <x v="0"/>
    <n v="987"/>
  </r>
  <r>
    <x v="36"/>
    <x v="0"/>
    <x v="4"/>
    <x v="2"/>
    <n v="542"/>
  </r>
  <r>
    <x v="36"/>
    <x v="2"/>
    <x v="2"/>
    <x v="0"/>
    <n v="60980"/>
  </r>
  <r>
    <x v="36"/>
    <x v="2"/>
    <x v="2"/>
    <x v="1"/>
    <n v="136017"/>
  </r>
  <r>
    <x v="36"/>
    <x v="2"/>
    <x v="2"/>
    <x v="2"/>
    <n v="76641"/>
  </r>
  <r>
    <x v="37"/>
    <x v="0"/>
    <x v="0"/>
    <x v="0"/>
    <n v="193278"/>
  </r>
  <r>
    <x v="37"/>
    <x v="0"/>
    <x v="0"/>
    <x v="1"/>
    <n v="232249"/>
  </r>
  <r>
    <x v="37"/>
    <x v="0"/>
    <x v="0"/>
    <x v="2"/>
    <n v="153269"/>
  </r>
  <r>
    <x v="37"/>
    <x v="0"/>
    <x v="9"/>
    <x v="0"/>
    <n v="438674"/>
  </r>
  <r>
    <x v="37"/>
    <x v="0"/>
    <x v="9"/>
    <x v="2"/>
    <n v="152929"/>
  </r>
  <r>
    <x v="37"/>
    <x v="0"/>
    <x v="1"/>
    <x v="0"/>
    <n v="4431816"/>
  </r>
  <r>
    <x v="37"/>
    <x v="0"/>
    <x v="1"/>
    <x v="1"/>
    <n v="780860"/>
  </r>
  <r>
    <x v="37"/>
    <x v="0"/>
    <x v="1"/>
    <x v="2"/>
    <n v="1981278"/>
  </r>
  <r>
    <x v="37"/>
    <x v="0"/>
    <x v="2"/>
    <x v="0"/>
    <n v="9921084"/>
  </r>
  <r>
    <x v="37"/>
    <x v="0"/>
    <x v="2"/>
    <x v="1"/>
    <n v="7852448"/>
  </r>
  <r>
    <x v="37"/>
    <x v="0"/>
    <x v="2"/>
    <x v="2"/>
    <n v="7916163"/>
  </r>
  <r>
    <x v="37"/>
    <x v="0"/>
    <x v="2"/>
    <x v="3"/>
    <n v="255000"/>
  </r>
  <r>
    <x v="37"/>
    <x v="0"/>
    <x v="3"/>
    <x v="0"/>
    <n v="549922"/>
  </r>
  <r>
    <x v="37"/>
    <x v="0"/>
    <x v="3"/>
    <x v="2"/>
    <n v="123777"/>
  </r>
  <r>
    <x v="37"/>
    <x v="2"/>
    <x v="0"/>
    <x v="0"/>
    <n v="625088"/>
  </r>
  <r>
    <x v="37"/>
    <x v="2"/>
    <x v="0"/>
    <x v="2"/>
    <n v="192604"/>
  </r>
  <r>
    <x v="37"/>
    <x v="2"/>
    <x v="1"/>
    <x v="0"/>
    <n v="968198"/>
  </r>
  <r>
    <x v="37"/>
    <x v="2"/>
    <x v="1"/>
    <x v="2"/>
    <n v="341478"/>
  </r>
  <r>
    <x v="37"/>
    <x v="2"/>
    <x v="1"/>
    <x v="3"/>
    <n v="30204"/>
  </r>
  <r>
    <x v="37"/>
    <x v="2"/>
    <x v="2"/>
    <x v="3"/>
    <n v="327"/>
  </r>
  <r>
    <x v="37"/>
    <x v="2"/>
    <x v="3"/>
    <x v="0"/>
    <n v="374333"/>
  </r>
  <r>
    <x v="37"/>
    <x v="2"/>
    <x v="3"/>
    <x v="2"/>
    <n v="122501"/>
  </r>
  <r>
    <x v="37"/>
    <x v="4"/>
    <x v="10"/>
    <x v="0"/>
    <n v="205993"/>
  </r>
  <r>
    <x v="37"/>
    <x v="4"/>
    <x v="10"/>
    <x v="1"/>
    <n v="138398"/>
  </r>
  <r>
    <x v="37"/>
    <x v="4"/>
    <x v="10"/>
    <x v="2"/>
    <n v="113343"/>
  </r>
  <r>
    <x v="37"/>
    <x v="4"/>
    <x v="9"/>
    <x v="0"/>
    <n v="108558"/>
  </r>
  <r>
    <x v="37"/>
    <x v="4"/>
    <x v="9"/>
    <x v="2"/>
    <n v="38461"/>
  </r>
  <r>
    <x v="37"/>
    <x v="4"/>
    <x v="1"/>
    <x v="0"/>
    <n v="116901"/>
  </r>
  <r>
    <x v="37"/>
    <x v="4"/>
    <x v="1"/>
    <x v="2"/>
    <n v="39018"/>
  </r>
  <r>
    <x v="37"/>
    <x v="4"/>
    <x v="2"/>
    <x v="5"/>
    <n v="500"/>
  </r>
  <r>
    <x v="37"/>
    <x v="4"/>
    <x v="2"/>
    <x v="0"/>
    <n v="584421"/>
  </r>
  <r>
    <x v="37"/>
    <x v="4"/>
    <x v="2"/>
    <x v="1"/>
    <n v="156478"/>
  </r>
  <r>
    <x v="37"/>
    <x v="4"/>
    <x v="2"/>
    <x v="2"/>
    <n v="298150"/>
  </r>
  <r>
    <x v="37"/>
    <x v="4"/>
    <x v="2"/>
    <x v="3"/>
    <n v="84077"/>
  </r>
  <r>
    <x v="37"/>
    <x v="4"/>
    <x v="2"/>
    <x v="4"/>
    <n v="68000"/>
  </r>
  <r>
    <x v="37"/>
    <x v="4"/>
    <x v="3"/>
    <x v="0"/>
    <n v="29085"/>
  </r>
  <r>
    <x v="37"/>
    <x v="4"/>
    <x v="3"/>
    <x v="2"/>
    <n v="6541"/>
  </r>
  <r>
    <x v="37"/>
    <x v="4"/>
    <x v="3"/>
    <x v="4"/>
    <n v="8000"/>
  </r>
  <r>
    <x v="37"/>
    <x v="3"/>
    <x v="2"/>
    <x v="3"/>
    <n v="1000000"/>
  </r>
  <r>
    <x v="38"/>
    <x v="0"/>
    <x v="0"/>
    <x v="0"/>
    <n v="28197"/>
  </r>
  <r>
    <x v="38"/>
    <x v="0"/>
    <x v="0"/>
    <x v="1"/>
    <n v="28994"/>
  </r>
  <r>
    <x v="38"/>
    <x v="0"/>
    <x v="0"/>
    <x v="2"/>
    <n v="26291"/>
  </r>
  <r>
    <x v="38"/>
    <x v="0"/>
    <x v="1"/>
    <x v="3"/>
    <n v="2500"/>
  </r>
  <r>
    <x v="38"/>
    <x v="0"/>
    <x v="1"/>
    <x v="4"/>
    <n v="185000"/>
  </r>
  <r>
    <x v="38"/>
    <x v="0"/>
    <x v="2"/>
    <x v="5"/>
    <n v="750"/>
  </r>
  <r>
    <x v="38"/>
    <x v="0"/>
    <x v="2"/>
    <x v="0"/>
    <n v="243935"/>
  </r>
  <r>
    <x v="38"/>
    <x v="0"/>
    <x v="2"/>
    <x v="1"/>
    <n v="134716"/>
  </r>
  <r>
    <x v="38"/>
    <x v="0"/>
    <x v="2"/>
    <x v="2"/>
    <n v="196655"/>
  </r>
  <r>
    <x v="38"/>
    <x v="0"/>
    <x v="2"/>
    <x v="3"/>
    <n v="9500"/>
  </r>
  <r>
    <x v="38"/>
    <x v="0"/>
    <x v="2"/>
    <x v="4"/>
    <n v="16500"/>
  </r>
  <r>
    <x v="38"/>
    <x v="0"/>
    <x v="3"/>
    <x v="0"/>
    <n v="2874"/>
  </r>
  <r>
    <x v="38"/>
    <x v="0"/>
    <x v="3"/>
    <x v="2"/>
    <n v="336"/>
  </r>
  <r>
    <x v="38"/>
    <x v="0"/>
    <x v="3"/>
    <x v="4"/>
    <n v="4000"/>
  </r>
  <r>
    <x v="38"/>
    <x v="0"/>
    <x v="3"/>
    <x v="6"/>
    <n v="4000"/>
  </r>
  <r>
    <x v="38"/>
    <x v="0"/>
    <x v="4"/>
    <x v="0"/>
    <n v="1078"/>
  </r>
  <r>
    <x v="38"/>
    <x v="0"/>
    <x v="4"/>
    <x v="2"/>
    <n v="249"/>
  </r>
  <r>
    <x v="38"/>
    <x v="2"/>
    <x v="2"/>
    <x v="1"/>
    <n v="59666"/>
  </r>
  <r>
    <x v="38"/>
    <x v="2"/>
    <x v="2"/>
    <x v="2"/>
    <n v="45664"/>
  </r>
  <r>
    <x v="38"/>
    <x v="2"/>
    <x v="2"/>
    <x v="4"/>
    <n v="4122"/>
  </r>
  <r>
    <x v="39"/>
    <x v="0"/>
    <x v="0"/>
    <x v="0"/>
    <n v="71420"/>
  </r>
  <r>
    <x v="39"/>
    <x v="0"/>
    <x v="0"/>
    <x v="1"/>
    <n v="34012"/>
  </r>
  <r>
    <x v="39"/>
    <x v="0"/>
    <x v="0"/>
    <x v="2"/>
    <n v="39287"/>
  </r>
  <r>
    <x v="39"/>
    <x v="0"/>
    <x v="0"/>
    <x v="6"/>
    <n v="1500"/>
  </r>
  <r>
    <x v="39"/>
    <x v="0"/>
    <x v="7"/>
    <x v="1"/>
    <n v="29855"/>
  </r>
  <r>
    <x v="39"/>
    <x v="0"/>
    <x v="7"/>
    <x v="2"/>
    <n v="31021"/>
  </r>
  <r>
    <x v="39"/>
    <x v="0"/>
    <x v="1"/>
    <x v="0"/>
    <n v="76961"/>
  </r>
  <r>
    <x v="39"/>
    <x v="0"/>
    <x v="1"/>
    <x v="1"/>
    <n v="16681"/>
  </r>
  <r>
    <x v="39"/>
    <x v="0"/>
    <x v="1"/>
    <x v="2"/>
    <n v="51866"/>
  </r>
  <r>
    <x v="39"/>
    <x v="0"/>
    <x v="1"/>
    <x v="3"/>
    <n v="1250"/>
  </r>
  <r>
    <x v="39"/>
    <x v="0"/>
    <x v="1"/>
    <x v="4"/>
    <n v="421200"/>
  </r>
  <r>
    <x v="39"/>
    <x v="0"/>
    <x v="2"/>
    <x v="0"/>
    <n v="955894"/>
  </r>
  <r>
    <x v="39"/>
    <x v="0"/>
    <x v="2"/>
    <x v="1"/>
    <n v="555929"/>
  </r>
  <r>
    <x v="39"/>
    <x v="0"/>
    <x v="2"/>
    <x v="2"/>
    <n v="742940"/>
  </r>
  <r>
    <x v="39"/>
    <x v="0"/>
    <x v="2"/>
    <x v="4"/>
    <n v="9550"/>
  </r>
  <r>
    <x v="39"/>
    <x v="0"/>
    <x v="8"/>
    <x v="3"/>
    <n v="500"/>
  </r>
  <r>
    <x v="39"/>
    <x v="0"/>
    <x v="4"/>
    <x v="0"/>
    <n v="15675"/>
  </r>
  <r>
    <x v="39"/>
    <x v="0"/>
    <x v="4"/>
    <x v="2"/>
    <n v="2670"/>
  </r>
  <r>
    <x v="39"/>
    <x v="1"/>
    <x v="2"/>
    <x v="1"/>
    <n v="24459"/>
  </r>
  <r>
    <x v="39"/>
    <x v="1"/>
    <x v="2"/>
    <x v="2"/>
    <n v="17530"/>
  </r>
  <r>
    <x v="39"/>
    <x v="2"/>
    <x v="2"/>
    <x v="1"/>
    <n v="220432"/>
  </r>
  <r>
    <x v="39"/>
    <x v="2"/>
    <x v="2"/>
    <x v="2"/>
    <n v="155778"/>
  </r>
  <r>
    <x v="39"/>
    <x v="2"/>
    <x v="2"/>
    <x v="3"/>
    <n v="2637"/>
  </r>
  <r>
    <x v="39"/>
    <x v="2"/>
    <x v="2"/>
    <x v="4"/>
    <n v="7661"/>
  </r>
  <r>
    <x v="40"/>
    <x v="0"/>
    <x v="0"/>
    <x v="0"/>
    <n v="3271"/>
  </r>
  <r>
    <x v="40"/>
    <x v="0"/>
    <x v="0"/>
    <x v="2"/>
    <n v="740"/>
  </r>
  <r>
    <x v="40"/>
    <x v="0"/>
    <x v="2"/>
    <x v="0"/>
    <n v="74999"/>
  </r>
  <r>
    <x v="40"/>
    <x v="0"/>
    <x v="2"/>
    <x v="1"/>
    <n v="58016"/>
  </r>
  <r>
    <x v="40"/>
    <x v="0"/>
    <x v="2"/>
    <x v="2"/>
    <n v="67650"/>
  </r>
  <r>
    <x v="40"/>
    <x v="0"/>
    <x v="2"/>
    <x v="3"/>
    <n v="1500"/>
  </r>
  <r>
    <x v="40"/>
    <x v="0"/>
    <x v="2"/>
    <x v="4"/>
    <n v="73000"/>
  </r>
  <r>
    <x v="40"/>
    <x v="0"/>
    <x v="2"/>
    <x v="6"/>
    <n v="100"/>
  </r>
  <r>
    <x v="40"/>
    <x v="0"/>
    <x v="2"/>
    <x v="7"/>
    <n v="1750"/>
  </r>
  <r>
    <x v="40"/>
    <x v="2"/>
    <x v="1"/>
    <x v="4"/>
    <n v="38208"/>
  </r>
  <r>
    <x v="41"/>
    <x v="0"/>
    <x v="1"/>
    <x v="4"/>
    <n v="4500"/>
  </r>
  <r>
    <x v="41"/>
    <x v="0"/>
    <x v="2"/>
    <x v="0"/>
    <n v="79297"/>
  </r>
  <r>
    <x v="41"/>
    <x v="0"/>
    <x v="2"/>
    <x v="1"/>
    <n v="52745"/>
  </r>
  <r>
    <x v="41"/>
    <x v="0"/>
    <x v="2"/>
    <x v="2"/>
    <n v="66324"/>
  </r>
  <r>
    <x v="41"/>
    <x v="0"/>
    <x v="2"/>
    <x v="3"/>
    <n v="400"/>
  </r>
  <r>
    <x v="41"/>
    <x v="0"/>
    <x v="4"/>
    <x v="0"/>
    <n v="1293"/>
  </r>
  <r>
    <x v="41"/>
    <x v="0"/>
    <x v="4"/>
    <x v="2"/>
    <n v="299"/>
  </r>
  <r>
    <x v="41"/>
    <x v="2"/>
    <x v="1"/>
    <x v="4"/>
    <n v="28849"/>
  </r>
  <r>
    <x v="41"/>
    <x v="3"/>
    <x v="1"/>
    <x v="4"/>
    <n v="37774"/>
  </r>
  <r>
    <x v="42"/>
    <x v="0"/>
    <x v="0"/>
    <x v="1"/>
    <n v="9647"/>
  </r>
  <r>
    <x v="42"/>
    <x v="0"/>
    <x v="0"/>
    <x v="2"/>
    <n v="5568"/>
  </r>
  <r>
    <x v="42"/>
    <x v="0"/>
    <x v="0"/>
    <x v="3"/>
    <n v="5621"/>
  </r>
  <r>
    <x v="42"/>
    <x v="0"/>
    <x v="1"/>
    <x v="0"/>
    <n v="82577"/>
  </r>
  <r>
    <x v="42"/>
    <x v="0"/>
    <x v="1"/>
    <x v="2"/>
    <n v="32574"/>
  </r>
  <r>
    <x v="42"/>
    <x v="0"/>
    <x v="1"/>
    <x v="4"/>
    <n v="230040"/>
  </r>
  <r>
    <x v="42"/>
    <x v="0"/>
    <x v="2"/>
    <x v="0"/>
    <n v="387792"/>
  </r>
  <r>
    <x v="42"/>
    <x v="0"/>
    <x v="2"/>
    <x v="1"/>
    <n v="219254"/>
  </r>
  <r>
    <x v="42"/>
    <x v="0"/>
    <x v="2"/>
    <x v="2"/>
    <n v="313527"/>
  </r>
  <r>
    <x v="42"/>
    <x v="0"/>
    <x v="2"/>
    <x v="4"/>
    <n v="105000"/>
  </r>
  <r>
    <x v="42"/>
    <x v="0"/>
    <x v="3"/>
    <x v="0"/>
    <n v="5824"/>
  </r>
  <r>
    <x v="42"/>
    <x v="0"/>
    <x v="3"/>
    <x v="2"/>
    <n v="1413"/>
  </r>
  <r>
    <x v="42"/>
    <x v="0"/>
    <x v="3"/>
    <x v="3"/>
    <n v="1000"/>
  </r>
  <r>
    <x v="42"/>
    <x v="0"/>
    <x v="3"/>
    <x v="4"/>
    <n v="5000"/>
  </r>
  <r>
    <x v="42"/>
    <x v="0"/>
    <x v="3"/>
    <x v="6"/>
    <n v="2500"/>
  </r>
  <r>
    <x v="42"/>
    <x v="0"/>
    <x v="4"/>
    <x v="0"/>
    <n v="8736"/>
  </r>
  <r>
    <x v="42"/>
    <x v="0"/>
    <x v="4"/>
    <x v="2"/>
    <n v="2120"/>
  </r>
  <r>
    <x v="42"/>
    <x v="2"/>
    <x v="0"/>
    <x v="3"/>
    <n v="4500"/>
  </r>
  <r>
    <x v="42"/>
    <x v="2"/>
    <x v="0"/>
    <x v="4"/>
    <n v="55440"/>
  </r>
  <r>
    <x v="42"/>
    <x v="2"/>
    <x v="1"/>
    <x v="3"/>
    <n v="2212"/>
  </r>
  <r>
    <x v="42"/>
    <x v="2"/>
    <x v="1"/>
    <x v="4"/>
    <n v="92656"/>
  </r>
  <r>
    <x v="42"/>
    <x v="2"/>
    <x v="2"/>
    <x v="1"/>
    <n v="52903"/>
  </r>
  <r>
    <x v="42"/>
    <x v="2"/>
    <x v="2"/>
    <x v="2"/>
    <n v="38289"/>
  </r>
  <r>
    <x v="42"/>
    <x v="2"/>
    <x v="2"/>
    <x v="3"/>
    <n v="3450"/>
  </r>
  <r>
    <x v="42"/>
    <x v="2"/>
    <x v="2"/>
    <x v="4"/>
    <n v="11336"/>
  </r>
  <r>
    <x v="42"/>
    <x v="2"/>
    <x v="3"/>
    <x v="3"/>
    <n v="500"/>
  </r>
  <r>
    <x v="42"/>
    <x v="2"/>
    <x v="3"/>
    <x v="4"/>
    <n v="6000"/>
  </r>
  <r>
    <x v="42"/>
    <x v="2"/>
    <x v="3"/>
    <x v="6"/>
    <n v="980"/>
  </r>
  <r>
    <x v="43"/>
    <x v="0"/>
    <x v="0"/>
    <x v="0"/>
    <n v="90665"/>
  </r>
  <r>
    <x v="43"/>
    <x v="0"/>
    <x v="0"/>
    <x v="1"/>
    <n v="65655"/>
  </r>
  <r>
    <x v="43"/>
    <x v="0"/>
    <x v="0"/>
    <x v="2"/>
    <n v="56959"/>
  </r>
  <r>
    <x v="43"/>
    <x v="0"/>
    <x v="0"/>
    <x v="3"/>
    <n v="1000"/>
  </r>
  <r>
    <x v="43"/>
    <x v="0"/>
    <x v="1"/>
    <x v="0"/>
    <n v="329712"/>
  </r>
  <r>
    <x v="43"/>
    <x v="0"/>
    <x v="1"/>
    <x v="1"/>
    <n v="64034"/>
  </r>
  <r>
    <x v="43"/>
    <x v="0"/>
    <x v="1"/>
    <x v="2"/>
    <n v="151190"/>
  </r>
  <r>
    <x v="43"/>
    <x v="0"/>
    <x v="1"/>
    <x v="3"/>
    <n v="20400"/>
  </r>
  <r>
    <x v="43"/>
    <x v="0"/>
    <x v="1"/>
    <x v="4"/>
    <n v="143000"/>
  </r>
  <r>
    <x v="43"/>
    <x v="0"/>
    <x v="1"/>
    <x v="6"/>
    <n v="1000"/>
  </r>
  <r>
    <x v="43"/>
    <x v="0"/>
    <x v="2"/>
    <x v="0"/>
    <n v="687917"/>
  </r>
  <r>
    <x v="43"/>
    <x v="0"/>
    <x v="2"/>
    <x v="1"/>
    <n v="467451"/>
  </r>
  <r>
    <x v="43"/>
    <x v="0"/>
    <x v="2"/>
    <x v="2"/>
    <n v="624852"/>
  </r>
  <r>
    <x v="43"/>
    <x v="0"/>
    <x v="2"/>
    <x v="3"/>
    <n v="20000"/>
  </r>
  <r>
    <x v="43"/>
    <x v="0"/>
    <x v="2"/>
    <x v="4"/>
    <n v="1500"/>
  </r>
  <r>
    <x v="43"/>
    <x v="0"/>
    <x v="3"/>
    <x v="3"/>
    <n v="2000"/>
  </r>
  <r>
    <x v="43"/>
    <x v="0"/>
    <x v="8"/>
    <x v="3"/>
    <n v="7350"/>
  </r>
  <r>
    <x v="43"/>
    <x v="0"/>
    <x v="8"/>
    <x v="4"/>
    <n v="1250"/>
  </r>
  <r>
    <x v="43"/>
    <x v="0"/>
    <x v="8"/>
    <x v="6"/>
    <n v="2500"/>
  </r>
  <r>
    <x v="43"/>
    <x v="0"/>
    <x v="4"/>
    <x v="0"/>
    <n v="20553"/>
  </r>
  <r>
    <x v="43"/>
    <x v="0"/>
    <x v="4"/>
    <x v="2"/>
    <n v="4714"/>
  </r>
  <r>
    <x v="43"/>
    <x v="2"/>
    <x v="1"/>
    <x v="0"/>
    <n v="133267"/>
  </r>
  <r>
    <x v="43"/>
    <x v="2"/>
    <x v="1"/>
    <x v="2"/>
    <n v="55786"/>
  </r>
  <r>
    <x v="43"/>
    <x v="2"/>
    <x v="2"/>
    <x v="0"/>
    <n v="161816"/>
  </r>
  <r>
    <x v="43"/>
    <x v="2"/>
    <x v="2"/>
    <x v="2"/>
    <n v="62248"/>
  </r>
  <r>
    <x v="43"/>
    <x v="2"/>
    <x v="3"/>
    <x v="0"/>
    <n v="6711"/>
  </r>
  <r>
    <x v="43"/>
    <x v="2"/>
    <x v="3"/>
    <x v="2"/>
    <n v="1539"/>
  </r>
  <r>
    <x v="44"/>
    <x v="0"/>
    <x v="0"/>
    <x v="0"/>
    <n v="95682"/>
  </r>
  <r>
    <x v="44"/>
    <x v="0"/>
    <x v="0"/>
    <x v="1"/>
    <n v="21564"/>
  </r>
  <r>
    <x v="44"/>
    <x v="0"/>
    <x v="0"/>
    <x v="2"/>
    <n v="41083"/>
  </r>
  <r>
    <x v="44"/>
    <x v="0"/>
    <x v="0"/>
    <x v="3"/>
    <n v="200"/>
  </r>
  <r>
    <x v="44"/>
    <x v="0"/>
    <x v="0"/>
    <x v="4"/>
    <n v="1700"/>
  </r>
  <r>
    <x v="44"/>
    <x v="0"/>
    <x v="7"/>
    <x v="3"/>
    <n v="2000"/>
  </r>
  <r>
    <x v="44"/>
    <x v="0"/>
    <x v="1"/>
    <x v="3"/>
    <n v="1000"/>
  </r>
  <r>
    <x v="44"/>
    <x v="0"/>
    <x v="1"/>
    <x v="4"/>
    <n v="77050"/>
  </r>
  <r>
    <x v="44"/>
    <x v="0"/>
    <x v="2"/>
    <x v="0"/>
    <n v="360643"/>
  </r>
  <r>
    <x v="44"/>
    <x v="0"/>
    <x v="2"/>
    <x v="1"/>
    <n v="471896"/>
  </r>
  <r>
    <x v="44"/>
    <x v="0"/>
    <x v="2"/>
    <x v="2"/>
    <n v="422492"/>
  </r>
  <r>
    <x v="44"/>
    <x v="0"/>
    <x v="2"/>
    <x v="3"/>
    <n v="3000"/>
  </r>
  <r>
    <x v="44"/>
    <x v="0"/>
    <x v="2"/>
    <x v="4"/>
    <n v="112400"/>
  </r>
  <r>
    <x v="44"/>
    <x v="0"/>
    <x v="5"/>
    <x v="4"/>
    <n v="17000"/>
  </r>
  <r>
    <x v="44"/>
    <x v="0"/>
    <x v="3"/>
    <x v="0"/>
    <n v="2576"/>
  </r>
  <r>
    <x v="44"/>
    <x v="0"/>
    <x v="3"/>
    <x v="1"/>
    <n v="2808"/>
  </r>
  <r>
    <x v="44"/>
    <x v="0"/>
    <x v="3"/>
    <x v="2"/>
    <n v="790"/>
  </r>
  <r>
    <x v="44"/>
    <x v="0"/>
    <x v="3"/>
    <x v="3"/>
    <n v="750"/>
  </r>
  <r>
    <x v="44"/>
    <x v="0"/>
    <x v="3"/>
    <x v="4"/>
    <n v="1000"/>
  </r>
  <r>
    <x v="44"/>
    <x v="0"/>
    <x v="8"/>
    <x v="4"/>
    <n v="7500"/>
  </r>
  <r>
    <x v="44"/>
    <x v="0"/>
    <x v="4"/>
    <x v="0"/>
    <n v="6733"/>
  </r>
  <r>
    <x v="44"/>
    <x v="0"/>
    <x v="4"/>
    <x v="2"/>
    <n v="1546"/>
  </r>
  <r>
    <x v="44"/>
    <x v="2"/>
    <x v="1"/>
    <x v="3"/>
    <n v="6000"/>
  </r>
  <r>
    <x v="44"/>
    <x v="2"/>
    <x v="1"/>
    <x v="4"/>
    <n v="106084"/>
  </r>
  <r>
    <x v="44"/>
    <x v="2"/>
    <x v="2"/>
    <x v="3"/>
    <n v="24984"/>
  </r>
  <r>
    <x v="44"/>
    <x v="2"/>
    <x v="2"/>
    <x v="4"/>
    <n v="2000"/>
  </r>
  <r>
    <x v="45"/>
    <x v="0"/>
    <x v="0"/>
    <x v="1"/>
    <n v="7414"/>
  </r>
  <r>
    <x v="45"/>
    <x v="0"/>
    <x v="0"/>
    <x v="2"/>
    <n v="2737"/>
  </r>
  <r>
    <x v="45"/>
    <x v="0"/>
    <x v="0"/>
    <x v="3"/>
    <n v="300"/>
  </r>
  <r>
    <x v="45"/>
    <x v="0"/>
    <x v="1"/>
    <x v="2"/>
    <n v="6"/>
  </r>
  <r>
    <x v="45"/>
    <x v="0"/>
    <x v="1"/>
    <x v="3"/>
    <n v="500"/>
  </r>
  <r>
    <x v="45"/>
    <x v="0"/>
    <x v="1"/>
    <x v="4"/>
    <n v="48000"/>
  </r>
  <r>
    <x v="45"/>
    <x v="0"/>
    <x v="2"/>
    <x v="0"/>
    <n v="196624"/>
  </r>
  <r>
    <x v="45"/>
    <x v="0"/>
    <x v="2"/>
    <x v="1"/>
    <n v="139120"/>
  </r>
  <r>
    <x v="45"/>
    <x v="0"/>
    <x v="2"/>
    <x v="2"/>
    <n v="154435"/>
  </r>
  <r>
    <x v="45"/>
    <x v="0"/>
    <x v="2"/>
    <x v="3"/>
    <n v="1000"/>
  </r>
  <r>
    <x v="45"/>
    <x v="0"/>
    <x v="2"/>
    <x v="4"/>
    <n v="164300"/>
  </r>
  <r>
    <x v="45"/>
    <x v="0"/>
    <x v="5"/>
    <x v="4"/>
    <n v="35000"/>
  </r>
  <r>
    <x v="45"/>
    <x v="0"/>
    <x v="3"/>
    <x v="0"/>
    <n v="1894"/>
  </r>
  <r>
    <x v="45"/>
    <x v="0"/>
    <x v="3"/>
    <x v="1"/>
    <n v="3338"/>
  </r>
  <r>
    <x v="45"/>
    <x v="0"/>
    <x v="3"/>
    <x v="2"/>
    <n v="2618"/>
  </r>
  <r>
    <x v="45"/>
    <x v="0"/>
    <x v="3"/>
    <x v="6"/>
    <n v="100"/>
  </r>
  <r>
    <x v="45"/>
    <x v="0"/>
    <x v="8"/>
    <x v="3"/>
    <n v="500"/>
  </r>
  <r>
    <x v="45"/>
    <x v="2"/>
    <x v="1"/>
    <x v="4"/>
    <n v="76601"/>
  </r>
  <r>
    <x v="46"/>
    <x v="0"/>
    <x v="1"/>
    <x v="4"/>
    <n v="44460"/>
  </r>
  <r>
    <x v="46"/>
    <x v="0"/>
    <x v="2"/>
    <x v="0"/>
    <n v="15357"/>
  </r>
  <r>
    <x v="46"/>
    <x v="0"/>
    <x v="2"/>
    <x v="1"/>
    <n v="93700"/>
  </r>
  <r>
    <x v="46"/>
    <x v="0"/>
    <x v="2"/>
    <x v="2"/>
    <n v="62109"/>
  </r>
  <r>
    <x v="46"/>
    <x v="0"/>
    <x v="2"/>
    <x v="4"/>
    <n v="31994"/>
  </r>
  <r>
    <x v="46"/>
    <x v="2"/>
    <x v="1"/>
    <x v="4"/>
    <n v="43925"/>
  </r>
  <r>
    <x v="47"/>
    <x v="0"/>
    <x v="10"/>
    <x v="0"/>
    <n v="12012"/>
  </r>
  <r>
    <x v="47"/>
    <x v="0"/>
    <x v="10"/>
    <x v="1"/>
    <n v="8565"/>
  </r>
  <r>
    <x v="47"/>
    <x v="0"/>
    <x v="10"/>
    <x v="2"/>
    <n v="9224"/>
  </r>
  <r>
    <x v="47"/>
    <x v="0"/>
    <x v="2"/>
    <x v="0"/>
    <n v="54062"/>
  </r>
  <r>
    <x v="47"/>
    <x v="0"/>
    <x v="2"/>
    <x v="1"/>
    <n v="113415"/>
  </r>
  <r>
    <x v="47"/>
    <x v="0"/>
    <x v="2"/>
    <x v="2"/>
    <n v="84180"/>
  </r>
  <r>
    <x v="47"/>
    <x v="0"/>
    <x v="2"/>
    <x v="3"/>
    <n v="2500"/>
  </r>
  <r>
    <x v="47"/>
    <x v="0"/>
    <x v="2"/>
    <x v="4"/>
    <n v="600"/>
  </r>
  <r>
    <x v="47"/>
    <x v="0"/>
    <x v="5"/>
    <x v="4"/>
    <n v="7000"/>
  </r>
  <r>
    <x v="47"/>
    <x v="0"/>
    <x v="6"/>
    <x v="3"/>
    <n v="500"/>
  </r>
  <r>
    <x v="47"/>
    <x v="0"/>
    <x v="6"/>
    <x v="4"/>
    <n v="1400"/>
  </r>
  <r>
    <x v="47"/>
    <x v="0"/>
    <x v="8"/>
    <x v="3"/>
    <n v="1000"/>
  </r>
  <r>
    <x v="47"/>
    <x v="2"/>
    <x v="1"/>
    <x v="4"/>
    <n v="68600"/>
  </r>
  <r>
    <x v="48"/>
    <x v="0"/>
    <x v="0"/>
    <x v="0"/>
    <n v="147701"/>
  </r>
  <r>
    <x v="48"/>
    <x v="0"/>
    <x v="0"/>
    <x v="1"/>
    <n v="48998"/>
  </r>
  <r>
    <x v="48"/>
    <x v="0"/>
    <x v="0"/>
    <x v="2"/>
    <n v="66756"/>
  </r>
  <r>
    <x v="48"/>
    <x v="0"/>
    <x v="1"/>
    <x v="0"/>
    <n v="178266"/>
  </r>
  <r>
    <x v="48"/>
    <x v="0"/>
    <x v="1"/>
    <x v="2"/>
    <n v="61888"/>
  </r>
  <r>
    <x v="48"/>
    <x v="0"/>
    <x v="2"/>
    <x v="0"/>
    <n v="648876"/>
  </r>
  <r>
    <x v="48"/>
    <x v="0"/>
    <x v="2"/>
    <x v="1"/>
    <n v="517332"/>
  </r>
  <r>
    <x v="48"/>
    <x v="0"/>
    <x v="2"/>
    <x v="2"/>
    <n v="499049"/>
  </r>
  <r>
    <x v="48"/>
    <x v="0"/>
    <x v="2"/>
    <x v="3"/>
    <n v="10000"/>
  </r>
  <r>
    <x v="48"/>
    <x v="0"/>
    <x v="5"/>
    <x v="4"/>
    <n v="125000"/>
  </r>
  <r>
    <x v="48"/>
    <x v="0"/>
    <x v="3"/>
    <x v="4"/>
    <n v="3000"/>
  </r>
  <r>
    <x v="48"/>
    <x v="1"/>
    <x v="2"/>
    <x v="0"/>
    <n v="20372"/>
  </r>
  <r>
    <x v="48"/>
    <x v="1"/>
    <x v="2"/>
    <x v="2"/>
    <n v="8616"/>
  </r>
  <r>
    <x v="48"/>
    <x v="2"/>
    <x v="1"/>
    <x v="0"/>
    <n v="142744"/>
  </r>
  <r>
    <x v="48"/>
    <x v="2"/>
    <x v="1"/>
    <x v="2"/>
    <n v="55409"/>
  </r>
  <r>
    <x v="48"/>
    <x v="2"/>
    <x v="2"/>
    <x v="0"/>
    <n v="5432"/>
  </r>
  <r>
    <x v="48"/>
    <x v="2"/>
    <x v="2"/>
    <x v="2"/>
    <n v="2298"/>
  </r>
  <r>
    <x v="49"/>
    <x v="0"/>
    <x v="10"/>
    <x v="0"/>
    <n v="22150"/>
  </r>
  <r>
    <x v="49"/>
    <x v="0"/>
    <x v="10"/>
    <x v="2"/>
    <n v="7530"/>
  </r>
  <r>
    <x v="49"/>
    <x v="0"/>
    <x v="10"/>
    <x v="4"/>
    <n v="300"/>
  </r>
  <r>
    <x v="49"/>
    <x v="0"/>
    <x v="1"/>
    <x v="4"/>
    <n v="150000"/>
  </r>
  <r>
    <x v="49"/>
    <x v="0"/>
    <x v="2"/>
    <x v="0"/>
    <n v="137878"/>
  </r>
  <r>
    <x v="49"/>
    <x v="0"/>
    <x v="2"/>
    <x v="1"/>
    <n v="75731"/>
  </r>
  <r>
    <x v="49"/>
    <x v="0"/>
    <x v="2"/>
    <x v="2"/>
    <n v="92553"/>
  </r>
  <r>
    <x v="49"/>
    <x v="0"/>
    <x v="2"/>
    <x v="3"/>
    <n v="9000"/>
  </r>
  <r>
    <x v="49"/>
    <x v="0"/>
    <x v="2"/>
    <x v="4"/>
    <n v="1000"/>
  </r>
  <r>
    <x v="49"/>
    <x v="0"/>
    <x v="2"/>
    <x v="6"/>
    <n v="1500"/>
  </r>
  <r>
    <x v="49"/>
    <x v="0"/>
    <x v="3"/>
    <x v="4"/>
    <n v="1500"/>
  </r>
  <r>
    <x v="49"/>
    <x v="0"/>
    <x v="6"/>
    <x v="3"/>
    <n v="3000"/>
  </r>
  <r>
    <x v="49"/>
    <x v="0"/>
    <x v="8"/>
    <x v="3"/>
    <n v="500"/>
  </r>
  <r>
    <x v="49"/>
    <x v="2"/>
    <x v="2"/>
    <x v="1"/>
    <n v="31494"/>
  </r>
  <r>
    <x v="49"/>
    <x v="2"/>
    <x v="2"/>
    <x v="2"/>
    <n v="18854"/>
  </r>
  <r>
    <x v="50"/>
    <x v="0"/>
    <x v="1"/>
    <x v="3"/>
    <n v="500"/>
  </r>
  <r>
    <x v="50"/>
    <x v="0"/>
    <x v="1"/>
    <x v="4"/>
    <n v="30000"/>
  </r>
  <r>
    <x v="50"/>
    <x v="0"/>
    <x v="2"/>
    <x v="0"/>
    <n v="83306"/>
  </r>
  <r>
    <x v="50"/>
    <x v="0"/>
    <x v="2"/>
    <x v="1"/>
    <n v="25976"/>
  </r>
  <r>
    <x v="50"/>
    <x v="0"/>
    <x v="2"/>
    <x v="2"/>
    <n v="46945"/>
  </r>
  <r>
    <x v="50"/>
    <x v="0"/>
    <x v="2"/>
    <x v="3"/>
    <n v="2000"/>
  </r>
  <r>
    <x v="50"/>
    <x v="2"/>
    <x v="1"/>
    <x v="4"/>
    <n v="18930"/>
  </r>
  <r>
    <x v="51"/>
    <x v="0"/>
    <x v="2"/>
    <x v="0"/>
    <n v="66404"/>
  </r>
  <r>
    <x v="51"/>
    <x v="0"/>
    <x v="2"/>
    <x v="1"/>
    <n v="100470"/>
  </r>
  <r>
    <x v="51"/>
    <x v="0"/>
    <x v="2"/>
    <x v="2"/>
    <n v="97233"/>
  </r>
  <r>
    <x v="51"/>
    <x v="0"/>
    <x v="2"/>
    <x v="3"/>
    <n v="8000"/>
  </r>
  <r>
    <x v="51"/>
    <x v="0"/>
    <x v="2"/>
    <x v="4"/>
    <n v="70000"/>
  </r>
  <r>
    <x v="51"/>
    <x v="0"/>
    <x v="2"/>
    <x v="6"/>
    <n v="300"/>
  </r>
  <r>
    <x v="51"/>
    <x v="0"/>
    <x v="4"/>
    <x v="0"/>
    <n v="1588"/>
  </r>
  <r>
    <x v="51"/>
    <x v="0"/>
    <x v="4"/>
    <x v="2"/>
    <n v="373"/>
  </r>
  <r>
    <x v="51"/>
    <x v="2"/>
    <x v="1"/>
    <x v="4"/>
    <n v="60000"/>
  </r>
  <r>
    <x v="52"/>
    <x v="0"/>
    <x v="0"/>
    <x v="0"/>
    <n v="74589"/>
  </r>
  <r>
    <x v="52"/>
    <x v="0"/>
    <x v="0"/>
    <x v="2"/>
    <n v="25721"/>
  </r>
  <r>
    <x v="52"/>
    <x v="0"/>
    <x v="10"/>
    <x v="1"/>
    <n v="4335"/>
  </r>
  <r>
    <x v="52"/>
    <x v="0"/>
    <x v="10"/>
    <x v="2"/>
    <n v="2479"/>
  </r>
  <r>
    <x v="52"/>
    <x v="0"/>
    <x v="1"/>
    <x v="4"/>
    <n v="50000"/>
  </r>
  <r>
    <x v="52"/>
    <x v="0"/>
    <x v="1"/>
    <x v="6"/>
    <n v="2000"/>
  </r>
  <r>
    <x v="52"/>
    <x v="0"/>
    <x v="2"/>
    <x v="0"/>
    <n v="89211"/>
  </r>
  <r>
    <x v="52"/>
    <x v="0"/>
    <x v="2"/>
    <x v="1"/>
    <n v="93989"/>
  </r>
  <r>
    <x v="52"/>
    <x v="0"/>
    <x v="2"/>
    <x v="2"/>
    <n v="92909"/>
  </r>
  <r>
    <x v="52"/>
    <x v="0"/>
    <x v="2"/>
    <x v="3"/>
    <n v="9500"/>
  </r>
  <r>
    <x v="52"/>
    <x v="0"/>
    <x v="2"/>
    <x v="6"/>
    <n v="2500"/>
  </r>
  <r>
    <x v="52"/>
    <x v="2"/>
    <x v="2"/>
    <x v="0"/>
    <n v="43739"/>
  </r>
  <r>
    <x v="52"/>
    <x v="2"/>
    <x v="2"/>
    <x v="2"/>
    <n v="16184"/>
  </r>
  <r>
    <x v="52"/>
    <x v="2"/>
    <x v="2"/>
    <x v="3"/>
    <n v="23000"/>
  </r>
  <r>
    <x v="52"/>
    <x v="3"/>
    <x v="2"/>
    <x v="3"/>
    <n v="5000"/>
  </r>
  <r>
    <x v="52"/>
    <x v="3"/>
    <x v="6"/>
    <x v="3"/>
    <n v="5000"/>
  </r>
  <r>
    <x v="53"/>
    <x v="0"/>
    <x v="9"/>
    <x v="4"/>
    <n v="5000"/>
  </r>
  <r>
    <x v="53"/>
    <x v="0"/>
    <x v="1"/>
    <x v="4"/>
    <n v="10000"/>
  </r>
  <r>
    <x v="53"/>
    <x v="0"/>
    <x v="6"/>
    <x v="3"/>
    <n v="1500"/>
  </r>
  <r>
    <x v="53"/>
    <x v="0"/>
    <x v="8"/>
    <x v="3"/>
    <n v="1500"/>
  </r>
  <r>
    <x v="54"/>
    <x v="0"/>
    <x v="0"/>
    <x v="0"/>
    <n v="67731"/>
  </r>
  <r>
    <x v="54"/>
    <x v="0"/>
    <x v="0"/>
    <x v="1"/>
    <n v="21251"/>
  </r>
  <r>
    <x v="54"/>
    <x v="0"/>
    <x v="0"/>
    <x v="2"/>
    <n v="31380"/>
  </r>
  <r>
    <x v="54"/>
    <x v="0"/>
    <x v="0"/>
    <x v="3"/>
    <n v="1200"/>
  </r>
  <r>
    <x v="54"/>
    <x v="0"/>
    <x v="0"/>
    <x v="4"/>
    <n v="550"/>
  </r>
  <r>
    <x v="54"/>
    <x v="0"/>
    <x v="0"/>
    <x v="6"/>
    <n v="1150"/>
  </r>
  <r>
    <x v="54"/>
    <x v="0"/>
    <x v="1"/>
    <x v="1"/>
    <n v="58256"/>
  </r>
  <r>
    <x v="54"/>
    <x v="0"/>
    <x v="1"/>
    <x v="2"/>
    <n v="33132"/>
  </r>
  <r>
    <x v="54"/>
    <x v="0"/>
    <x v="1"/>
    <x v="4"/>
    <n v="79610"/>
  </r>
  <r>
    <x v="54"/>
    <x v="0"/>
    <x v="1"/>
    <x v="6"/>
    <n v="500"/>
  </r>
  <r>
    <x v="54"/>
    <x v="0"/>
    <x v="2"/>
    <x v="0"/>
    <n v="99326"/>
  </r>
  <r>
    <x v="54"/>
    <x v="0"/>
    <x v="2"/>
    <x v="1"/>
    <n v="127635"/>
  </r>
  <r>
    <x v="54"/>
    <x v="0"/>
    <x v="2"/>
    <x v="2"/>
    <n v="115895"/>
  </r>
  <r>
    <x v="54"/>
    <x v="0"/>
    <x v="2"/>
    <x v="3"/>
    <n v="13061"/>
  </r>
  <r>
    <x v="54"/>
    <x v="0"/>
    <x v="2"/>
    <x v="4"/>
    <n v="51700"/>
  </r>
  <r>
    <x v="54"/>
    <x v="0"/>
    <x v="5"/>
    <x v="4"/>
    <n v="57500"/>
  </r>
  <r>
    <x v="54"/>
    <x v="0"/>
    <x v="3"/>
    <x v="0"/>
    <n v="2957"/>
  </r>
  <r>
    <x v="54"/>
    <x v="0"/>
    <x v="3"/>
    <x v="2"/>
    <n v="666"/>
  </r>
  <r>
    <x v="54"/>
    <x v="0"/>
    <x v="3"/>
    <x v="4"/>
    <n v="220"/>
  </r>
  <r>
    <x v="54"/>
    <x v="0"/>
    <x v="3"/>
    <x v="6"/>
    <n v="1800"/>
  </r>
  <r>
    <x v="54"/>
    <x v="1"/>
    <x v="2"/>
    <x v="0"/>
    <n v="15430"/>
  </r>
  <r>
    <x v="54"/>
    <x v="1"/>
    <x v="2"/>
    <x v="2"/>
    <n v="6183"/>
  </r>
  <r>
    <x v="54"/>
    <x v="1"/>
    <x v="3"/>
    <x v="0"/>
    <n v="487"/>
  </r>
  <r>
    <x v="54"/>
    <x v="1"/>
    <x v="3"/>
    <x v="2"/>
    <n v="110"/>
  </r>
  <r>
    <x v="54"/>
    <x v="2"/>
    <x v="1"/>
    <x v="4"/>
    <n v="6564"/>
  </r>
  <r>
    <x v="54"/>
    <x v="2"/>
    <x v="2"/>
    <x v="0"/>
    <n v="55220"/>
  </r>
  <r>
    <x v="54"/>
    <x v="2"/>
    <x v="2"/>
    <x v="2"/>
    <n v="19615"/>
  </r>
  <r>
    <x v="54"/>
    <x v="2"/>
    <x v="2"/>
    <x v="3"/>
    <n v="5511"/>
  </r>
  <r>
    <x v="54"/>
    <x v="2"/>
    <x v="3"/>
    <x v="0"/>
    <n v="1681"/>
  </r>
  <r>
    <x v="54"/>
    <x v="2"/>
    <x v="3"/>
    <x v="2"/>
    <n v="378"/>
  </r>
  <r>
    <x v="55"/>
    <x v="0"/>
    <x v="0"/>
    <x v="0"/>
    <n v="6952"/>
  </r>
  <r>
    <x v="55"/>
    <x v="0"/>
    <x v="1"/>
    <x v="0"/>
    <n v="51778"/>
  </r>
  <r>
    <x v="55"/>
    <x v="0"/>
    <x v="1"/>
    <x v="1"/>
    <n v="34129"/>
  </r>
  <r>
    <x v="55"/>
    <x v="0"/>
    <x v="1"/>
    <x v="2"/>
    <n v="40839"/>
  </r>
  <r>
    <x v="55"/>
    <x v="0"/>
    <x v="1"/>
    <x v="3"/>
    <n v="4000"/>
  </r>
  <r>
    <x v="55"/>
    <x v="0"/>
    <x v="1"/>
    <x v="4"/>
    <n v="36500"/>
  </r>
  <r>
    <x v="55"/>
    <x v="0"/>
    <x v="2"/>
    <x v="0"/>
    <n v="142342"/>
  </r>
  <r>
    <x v="55"/>
    <x v="0"/>
    <x v="2"/>
    <x v="1"/>
    <n v="250050"/>
  </r>
  <r>
    <x v="55"/>
    <x v="0"/>
    <x v="2"/>
    <x v="2"/>
    <n v="193285"/>
  </r>
  <r>
    <x v="55"/>
    <x v="0"/>
    <x v="2"/>
    <x v="3"/>
    <n v="18000"/>
  </r>
  <r>
    <x v="55"/>
    <x v="0"/>
    <x v="2"/>
    <x v="4"/>
    <n v="15000"/>
  </r>
  <r>
    <x v="55"/>
    <x v="0"/>
    <x v="3"/>
    <x v="4"/>
    <n v="6000"/>
  </r>
  <r>
    <x v="55"/>
    <x v="0"/>
    <x v="3"/>
    <x v="6"/>
    <n v="5000"/>
  </r>
  <r>
    <x v="55"/>
    <x v="0"/>
    <x v="6"/>
    <x v="3"/>
    <n v="10000"/>
  </r>
  <r>
    <x v="55"/>
    <x v="0"/>
    <x v="8"/>
    <x v="3"/>
    <n v="8500"/>
  </r>
  <r>
    <x v="55"/>
    <x v="0"/>
    <x v="4"/>
    <x v="0"/>
    <n v="1539"/>
  </r>
  <r>
    <x v="55"/>
    <x v="0"/>
    <x v="4"/>
    <x v="2"/>
    <n v="724"/>
  </r>
  <r>
    <x v="55"/>
    <x v="2"/>
    <x v="1"/>
    <x v="0"/>
    <n v="70932"/>
  </r>
  <r>
    <x v="55"/>
    <x v="2"/>
    <x v="1"/>
    <x v="2"/>
    <n v="28510"/>
  </r>
  <r>
    <x v="55"/>
    <x v="2"/>
    <x v="1"/>
    <x v="4"/>
    <n v="45000"/>
  </r>
  <r>
    <x v="56"/>
    <x v="0"/>
    <x v="5"/>
    <x v="4"/>
    <n v="614025"/>
  </r>
  <r>
    <x v="57"/>
    <x v="0"/>
    <x v="0"/>
    <x v="0"/>
    <n v="118048"/>
  </r>
  <r>
    <x v="57"/>
    <x v="0"/>
    <x v="0"/>
    <x v="1"/>
    <n v="35969"/>
  </r>
  <r>
    <x v="57"/>
    <x v="0"/>
    <x v="0"/>
    <x v="2"/>
    <n v="57145"/>
  </r>
  <r>
    <x v="57"/>
    <x v="0"/>
    <x v="0"/>
    <x v="3"/>
    <n v="10250"/>
  </r>
  <r>
    <x v="57"/>
    <x v="0"/>
    <x v="0"/>
    <x v="4"/>
    <n v="500"/>
  </r>
  <r>
    <x v="57"/>
    <x v="0"/>
    <x v="0"/>
    <x v="6"/>
    <n v="1000"/>
  </r>
  <r>
    <x v="57"/>
    <x v="0"/>
    <x v="7"/>
    <x v="1"/>
    <n v="42184"/>
  </r>
  <r>
    <x v="57"/>
    <x v="0"/>
    <x v="7"/>
    <x v="2"/>
    <n v="33389"/>
  </r>
  <r>
    <x v="57"/>
    <x v="0"/>
    <x v="1"/>
    <x v="0"/>
    <n v="666905"/>
  </r>
  <r>
    <x v="57"/>
    <x v="0"/>
    <x v="1"/>
    <x v="2"/>
    <n v="263549"/>
  </r>
  <r>
    <x v="57"/>
    <x v="0"/>
    <x v="1"/>
    <x v="3"/>
    <n v="40000"/>
  </r>
  <r>
    <x v="57"/>
    <x v="0"/>
    <x v="1"/>
    <x v="4"/>
    <n v="2500"/>
  </r>
  <r>
    <x v="57"/>
    <x v="0"/>
    <x v="1"/>
    <x v="6"/>
    <n v="500"/>
  </r>
  <r>
    <x v="57"/>
    <x v="0"/>
    <x v="2"/>
    <x v="0"/>
    <n v="1001713"/>
  </r>
  <r>
    <x v="57"/>
    <x v="0"/>
    <x v="2"/>
    <x v="1"/>
    <n v="332633"/>
  </r>
  <r>
    <x v="57"/>
    <x v="0"/>
    <x v="2"/>
    <x v="2"/>
    <n v="613754"/>
  </r>
  <r>
    <x v="57"/>
    <x v="0"/>
    <x v="2"/>
    <x v="3"/>
    <n v="146000"/>
  </r>
  <r>
    <x v="57"/>
    <x v="0"/>
    <x v="2"/>
    <x v="4"/>
    <n v="148861"/>
  </r>
  <r>
    <x v="57"/>
    <x v="0"/>
    <x v="2"/>
    <x v="6"/>
    <n v="250"/>
  </r>
  <r>
    <x v="57"/>
    <x v="0"/>
    <x v="3"/>
    <x v="0"/>
    <n v="27726"/>
  </r>
  <r>
    <x v="57"/>
    <x v="0"/>
    <x v="3"/>
    <x v="2"/>
    <n v="7742"/>
  </r>
  <r>
    <x v="57"/>
    <x v="0"/>
    <x v="3"/>
    <x v="4"/>
    <n v="3000"/>
  </r>
  <r>
    <x v="57"/>
    <x v="1"/>
    <x v="2"/>
    <x v="3"/>
    <n v="80000"/>
  </r>
  <r>
    <x v="57"/>
    <x v="2"/>
    <x v="2"/>
    <x v="0"/>
    <n v="52700"/>
  </r>
  <r>
    <x v="57"/>
    <x v="2"/>
    <x v="2"/>
    <x v="1"/>
    <n v="254906"/>
  </r>
  <r>
    <x v="57"/>
    <x v="2"/>
    <x v="2"/>
    <x v="2"/>
    <n v="215921"/>
  </r>
  <r>
    <x v="57"/>
    <x v="2"/>
    <x v="3"/>
    <x v="0"/>
    <n v="842"/>
  </r>
  <r>
    <x v="57"/>
    <x v="2"/>
    <x v="3"/>
    <x v="2"/>
    <n v="189"/>
  </r>
  <r>
    <x v="58"/>
    <x v="0"/>
    <x v="0"/>
    <x v="0"/>
    <n v="141247"/>
  </r>
  <r>
    <x v="58"/>
    <x v="0"/>
    <x v="0"/>
    <x v="1"/>
    <n v="9333"/>
  </r>
  <r>
    <x v="58"/>
    <x v="0"/>
    <x v="0"/>
    <x v="2"/>
    <n v="44088"/>
  </r>
  <r>
    <x v="58"/>
    <x v="0"/>
    <x v="0"/>
    <x v="4"/>
    <n v="2950"/>
  </r>
  <r>
    <x v="58"/>
    <x v="0"/>
    <x v="7"/>
    <x v="1"/>
    <n v="3272"/>
  </r>
  <r>
    <x v="58"/>
    <x v="0"/>
    <x v="7"/>
    <x v="2"/>
    <n v="2428"/>
  </r>
  <r>
    <x v="58"/>
    <x v="0"/>
    <x v="7"/>
    <x v="4"/>
    <n v="1250"/>
  </r>
  <r>
    <x v="58"/>
    <x v="0"/>
    <x v="1"/>
    <x v="0"/>
    <n v="514314"/>
  </r>
  <r>
    <x v="58"/>
    <x v="0"/>
    <x v="1"/>
    <x v="1"/>
    <n v="34985"/>
  </r>
  <r>
    <x v="58"/>
    <x v="0"/>
    <x v="1"/>
    <x v="2"/>
    <n v="194632"/>
  </r>
  <r>
    <x v="58"/>
    <x v="0"/>
    <x v="1"/>
    <x v="3"/>
    <n v="6000"/>
  </r>
  <r>
    <x v="58"/>
    <x v="0"/>
    <x v="1"/>
    <x v="4"/>
    <n v="241700"/>
  </r>
  <r>
    <x v="58"/>
    <x v="0"/>
    <x v="1"/>
    <x v="6"/>
    <n v="1000"/>
  </r>
  <r>
    <x v="58"/>
    <x v="0"/>
    <x v="2"/>
    <x v="0"/>
    <n v="808263"/>
  </r>
  <r>
    <x v="58"/>
    <x v="0"/>
    <x v="2"/>
    <x v="1"/>
    <n v="868680"/>
  </r>
  <r>
    <x v="58"/>
    <x v="0"/>
    <x v="2"/>
    <x v="2"/>
    <n v="810275"/>
  </r>
  <r>
    <x v="58"/>
    <x v="0"/>
    <x v="2"/>
    <x v="3"/>
    <n v="7750"/>
  </r>
  <r>
    <x v="58"/>
    <x v="0"/>
    <x v="2"/>
    <x v="4"/>
    <n v="226260"/>
  </r>
  <r>
    <x v="58"/>
    <x v="0"/>
    <x v="3"/>
    <x v="3"/>
    <n v="1000"/>
  </r>
  <r>
    <x v="58"/>
    <x v="0"/>
    <x v="8"/>
    <x v="3"/>
    <n v="30000"/>
  </r>
  <r>
    <x v="58"/>
    <x v="0"/>
    <x v="8"/>
    <x v="4"/>
    <n v="600"/>
  </r>
  <r>
    <x v="58"/>
    <x v="0"/>
    <x v="4"/>
    <x v="0"/>
    <n v="18231"/>
  </r>
  <r>
    <x v="58"/>
    <x v="0"/>
    <x v="4"/>
    <x v="2"/>
    <n v="6806"/>
  </r>
  <r>
    <x v="58"/>
    <x v="2"/>
    <x v="1"/>
    <x v="4"/>
    <n v="100000"/>
  </r>
  <r>
    <x v="58"/>
    <x v="2"/>
    <x v="2"/>
    <x v="3"/>
    <n v="65338"/>
  </r>
  <r>
    <x v="58"/>
    <x v="2"/>
    <x v="5"/>
    <x v="4"/>
    <n v="95600"/>
  </r>
  <r>
    <x v="59"/>
    <x v="0"/>
    <x v="5"/>
    <x v="4"/>
    <n v="20631"/>
  </r>
  <r>
    <x v="60"/>
    <x v="0"/>
    <x v="0"/>
    <x v="0"/>
    <n v="151703"/>
  </r>
  <r>
    <x v="60"/>
    <x v="0"/>
    <x v="0"/>
    <x v="1"/>
    <n v="49338"/>
  </r>
  <r>
    <x v="60"/>
    <x v="0"/>
    <x v="0"/>
    <x v="2"/>
    <n v="57348"/>
  </r>
  <r>
    <x v="60"/>
    <x v="0"/>
    <x v="0"/>
    <x v="3"/>
    <n v="2600"/>
  </r>
  <r>
    <x v="60"/>
    <x v="0"/>
    <x v="0"/>
    <x v="4"/>
    <n v="3700"/>
  </r>
  <r>
    <x v="60"/>
    <x v="0"/>
    <x v="0"/>
    <x v="6"/>
    <n v="1000"/>
  </r>
  <r>
    <x v="60"/>
    <x v="0"/>
    <x v="7"/>
    <x v="1"/>
    <n v="136816"/>
  </r>
  <r>
    <x v="60"/>
    <x v="0"/>
    <x v="7"/>
    <x v="2"/>
    <n v="128988"/>
  </r>
  <r>
    <x v="60"/>
    <x v="0"/>
    <x v="7"/>
    <x v="3"/>
    <n v="1000"/>
  </r>
  <r>
    <x v="60"/>
    <x v="0"/>
    <x v="1"/>
    <x v="0"/>
    <n v="1714000"/>
  </r>
  <r>
    <x v="60"/>
    <x v="0"/>
    <x v="1"/>
    <x v="1"/>
    <n v="64397"/>
  </r>
  <r>
    <x v="60"/>
    <x v="0"/>
    <x v="1"/>
    <x v="2"/>
    <n v="643410"/>
  </r>
  <r>
    <x v="60"/>
    <x v="0"/>
    <x v="1"/>
    <x v="3"/>
    <n v="31123"/>
  </r>
  <r>
    <x v="60"/>
    <x v="0"/>
    <x v="1"/>
    <x v="4"/>
    <n v="104000"/>
  </r>
  <r>
    <x v="60"/>
    <x v="0"/>
    <x v="1"/>
    <x v="6"/>
    <n v="5000"/>
  </r>
  <r>
    <x v="60"/>
    <x v="0"/>
    <x v="2"/>
    <x v="5"/>
    <n v="2000"/>
  </r>
  <r>
    <x v="60"/>
    <x v="0"/>
    <x v="2"/>
    <x v="0"/>
    <n v="2737174"/>
  </r>
  <r>
    <x v="60"/>
    <x v="0"/>
    <x v="2"/>
    <x v="1"/>
    <n v="830704"/>
  </r>
  <r>
    <x v="60"/>
    <x v="0"/>
    <x v="2"/>
    <x v="2"/>
    <n v="1619402"/>
  </r>
  <r>
    <x v="60"/>
    <x v="0"/>
    <x v="2"/>
    <x v="3"/>
    <n v="17000"/>
  </r>
  <r>
    <x v="60"/>
    <x v="0"/>
    <x v="2"/>
    <x v="4"/>
    <n v="10000"/>
  </r>
  <r>
    <x v="60"/>
    <x v="0"/>
    <x v="2"/>
    <x v="6"/>
    <n v="2500"/>
  </r>
  <r>
    <x v="60"/>
    <x v="0"/>
    <x v="3"/>
    <x v="0"/>
    <n v="102066"/>
  </r>
  <r>
    <x v="60"/>
    <x v="0"/>
    <x v="3"/>
    <x v="2"/>
    <n v="35872"/>
  </r>
  <r>
    <x v="60"/>
    <x v="0"/>
    <x v="3"/>
    <x v="4"/>
    <n v="5200"/>
  </r>
  <r>
    <x v="60"/>
    <x v="0"/>
    <x v="3"/>
    <x v="6"/>
    <n v="1850"/>
  </r>
  <r>
    <x v="60"/>
    <x v="0"/>
    <x v="6"/>
    <x v="3"/>
    <n v="5000"/>
  </r>
  <r>
    <x v="60"/>
    <x v="0"/>
    <x v="8"/>
    <x v="3"/>
    <n v="5000"/>
  </r>
  <r>
    <x v="60"/>
    <x v="0"/>
    <x v="4"/>
    <x v="0"/>
    <n v="65780"/>
  </r>
  <r>
    <x v="60"/>
    <x v="0"/>
    <x v="4"/>
    <x v="2"/>
    <n v="24194"/>
  </r>
  <r>
    <x v="60"/>
    <x v="1"/>
    <x v="2"/>
    <x v="1"/>
    <n v="22539"/>
  </r>
  <r>
    <x v="60"/>
    <x v="1"/>
    <x v="2"/>
    <x v="2"/>
    <n v="17539"/>
  </r>
  <r>
    <x v="60"/>
    <x v="2"/>
    <x v="2"/>
    <x v="1"/>
    <n v="588494"/>
  </r>
  <r>
    <x v="60"/>
    <x v="2"/>
    <x v="2"/>
    <x v="2"/>
    <n v="413340"/>
  </r>
  <r>
    <x v="61"/>
    <x v="0"/>
    <x v="0"/>
    <x v="0"/>
    <n v="138973"/>
  </r>
  <r>
    <x v="61"/>
    <x v="0"/>
    <x v="0"/>
    <x v="1"/>
    <n v="63107"/>
  </r>
  <r>
    <x v="61"/>
    <x v="0"/>
    <x v="0"/>
    <x v="2"/>
    <n v="65027"/>
  </r>
  <r>
    <x v="61"/>
    <x v="0"/>
    <x v="0"/>
    <x v="4"/>
    <n v="1000"/>
  </r>
  <r>
    <x v="61"/>
    <x v="0"/>
    <x v="1"/>
    <x v="0"/>
    <n v="716116"/>
  </r>
  <r>
    <x v="61"/>
    <x v="0"/>
    <x v="1"/>
    <x v="1"/>
    <n v="147720"/>
  </r>
  <r>
    <x v="61"/>
    <x v="0"/>
    <x v="1"/>
    <x v="2"/>
    <n v="382813"/>
  </r>
  <r>
    <x v="61"/>
    <x v="0"/>
    <x v="1"/>
    <x v="3"/>
    <n v="20000"/>
  </r>
  <r>
    <x v="61"/>
    <x v="0"/>
    <x v="1"/>
    <x v="4"/>
    <n v="659300"/>
  </r>
  <r>
    <x v="61"/>
    <x v="0"/>
    <x v="2"/>
    <x v="5"/>
    <n v="1500"/>
  </r>
  <r>
    <x v="61"/>
    <x v="0"/>
    <x v="2"/>
    <x v="0"/>
    <n v="1468316"/>
  </r>
  <r>
    <x v="61"/>
    <x v="0"/>
    <x v="2"/>
    <x v="1"/>
    <n v="319344"/>
  </r>
  <r>
    <x v="61"/>
    <x v="0"/>
    <x v="2"/>
    <x v="2"/>
    <n v="798171"/>
  </r>
  <r>
    <x v="61"/>
    <x v="0"/>
    <x v="2"/>
    <x v="3"/>
    <n v="15000"/>
  </r>
  <r>
    <x v="61"/>
    <x v="0"/>
    <x v="2"/>
    <x v="4"/>
    <n v="153600"/>
  </r>
  <r>
    <x v="61"/>
    <x v="0"/>
    <x v="3"/>
    <x v="0"/>
    <n v="53701"/>
  </r>
  <r>
    <x v="61"/>
    <x v="0"/>
    <x v="3"/>
    <x v="2"/>
    <n v="12414"/>
  </r>
  <r>
    <x v="61"/>
    <x v="2"/>
    <x v="0"/>
    <x v="0"/>
    <n v="22623"/>
  </r>
  <r>
    <x v="61"/>
    <x v="2"/>
    <x v="0"/>
    <x v="2"/>
    <n v="6472"/>
  </r>
  <r>
    <x v="61"/>
    <x v="2"/>
    <x v="1"/>
    <x v="0"/>
    <n v="8754"/>
  </r>
  <r>
    <x v="61"/>
    <x v="2"/>
    <x v="1"/>
    <x v="2"/>
    <n v="3266"/>
  </r>
  <r>
    <x v="61"/>
    <x v="2"/>
    <x v="2"/>
    <x v="0"/>
    <n v="2513"/>
  </r>
  <r>
    <x v="61"/>
    <x v="2"/>
    <x v="2"/>
    <x v="1"/>
    <n v="347381"/>
  </r>
  <r>
    <x v="61"/>
    <x v="2"/>
    <x v="2"/>
    <x v="2"/>
    <n v="232377"/>
  </r>
  <r>
    <x v="61"/>
    <x v="2"/>
    <x v="2"/>
    <x v="3"/>
    <n v="2655"/>
  </r>
  <r>
    <x v="61"/>
    <x v="2"/>
    <x v="3"/>
    <x v="0"/>
    <n v="198"/>
  </r>
  <r>
    <x v="61"/>
    <x v="2"/>
    <x v="3"/>
    <x v="2"/>
    <n v="46"/>
  </r>
  <r>
    <x v="62"/>
    <x v="0"/>
    <x v="0"/>
    <x v="0"/>
    <n v="293959"/>
  </r>
  <r>
    <x v="62"/>
    <x v="0"/>
    <x v="0"/>
    <x v="1"/>
    <n v="68812"/>
  </r>
  <r>
    <x v="62"/>
    <x v="0"/>
    <x v="0"/>
    <x v="2"/>
    <n v="119898"/>
  </r>
  <r>
    <x v="62"/>
    <x v="0"/>
    <x v="0"/>
    <x v="3"/>
    <n v="3800"/>
  </r>
  <r>
    <x v="62"/>
    <x v="0"/>
    <x v="0"/>
    <x v="4"/>
    <n v="300"/>
  </r>
  <r>
    <x v="62"/>
    <x v="0"/>
    <x v="0"/>
    <x v="6"/>
    <n v="5000"/>
  </r>
  <r>
    <x v="62"/>
    <x v="0"/>
    <x v="7"/>
    <x v="3"/>
    <n v="1500"/>
  </r>
  <r>
    <x v="62"/>
    <x v="0"/>
    <x v="1"/>
    <x v="0"/>
    <n v="1718517"/>
  </r>
  <r>
    <x v="62"/>
    <x v="0"/>
    <x v="1"/>
    <x v="1"/>
    <n v="223081"/>
  </r>
  <r>
    <x v="62"/>
    <x v="0"/>
    <x v="1"/>
    <x v="2"/>
    <n v="778413"/>
  </r>
  <r>
    <x v="62"/>
    <x v="0"/>
    <x v="1"/>
    <x v="3"/>
    <n v="32450"/>
  </r>
  <r>
    <x v="62"/>
    <x v="0"/>
    <x v="1"/>
    <x v="4"/>
    <n v="23300"/>
  </r>
  <r>
    <x v="62"/>
    <x v="0"/>
    <x v="1"/>
    <x v="6"/>
    <n v="2300"/>
  </r>
  <r>
    <x v="62"/>
    <x v="0"/>
    <x v="2"/>
    <x v="0"/>
    <n v="2766421"/>
  </r>
  <r>
    <x v="62"/>
    <x v="0"/>
    <x v="2"/>
    <x v="1"/>
    <n v="1545510"/>
  </r>
  <r>
    <x v="62"/>
    <x v="0"/>
    <x v="2"/>
    <x v="2"/>
    <n v="1999402"/>
  </r>
  <r>
    <x v="62"/>
    <x v="0"/>
    <x v="2"/>
    <x v="3"/>
    <n v="105010"/>
  </r>
  <r>
    <x v="62"/>
    <x v="0"/>
    <x v="2"/>
    <x v="4"/>
    <n v="22000"/>
  </r>
  <r>
    <x v="62"/>
    <x v="0"/>
    <x v="2"/>
    <x v="6"/>
    <n v="250"/>
  </r>
  <r>
    <x v="62"/>
    <x v="0"/>
    <x v="3"/>
    <x v="3"/>
    <n v="900"/>
  </r>
  <r>
    <x v="62"/>
    <x v="0"/>
    <x v="3"/>
    <x v="4"/>
    <n v="13000"/>
  </r>
  <r>
    <x v="62"/>
    <x v="0"/>
    <x v="3"/>
    <x v="6"/>
    <n v="2000"/>
  </r>
  <r>
    <x v="62"/>
    <x v="0"/>
    <x v="6"/>
    <x v="3"/>
    <n v="1000"/>
  </r>
  <r>
    <x v="62"/>
    <x v="0"/>
    <x v="6"/>
    <x v="4"/>
    <n v="2400"/>
  </r>
  <r>
    <x v="62"/>
    <x v="0"/>
    <x v="8"/>
    <x v="3"/>
    <n v="5000"/>
  </r>
  <r>
    <x v="62"/>
    <x v="0"/>
    <x v="4"/>
    <x v="0"/>
    <n v="72470"/>
  </r>
  <r>
    <x v="62"/>
    <x v="0"/>
    <x v="4"/>
    <x v="2"/>
    <n v="16992"/>
  </r>
  <r>
    <x v="62"/>
    <x v="1"/>
    <x v="2"/>
    <x v="1"/>
    <n v="80785"/>
  </r>
  <r>
    <x v="62"/>
    <x v="1"/>
    <x v="2"/>
    <x v="2"/>
    <n v="41077"/>
  </r>
  <r>
    <x v="62"/>
    <x v="1"/>
    <x v="3"/>
    <x v="4"/>
    <n v="66071"/>
  </r>
  <r>
    <x v="62"/>
    <x v="2"/>
    <x v="2"/>
    <x v="1"/>
    <n v="705353"/>
  </r>
  <r>
    <x v="62"/>
    <x v="2"/>
    <x v="2"/>
    <x v="2"/>
    <n v="414168"/>
  </r>
  <r>
    <x v="63"/>
    <x v="0"/>
    <x v="1"/>
    <x v="4"/>
    <n v="9132"/>
  </r>
  <r>
    <x v="63"/>
    <x v="0"/>
    <x v="2"/>
    <x v="0"/>
    <n v="45995"/>
  </r>
  <r>
    <x v="63"/>
    <x v="0"/>
    <x v="2"/>
    <x v="2"/>
    <n v="16680"/>
  </r>
  <r>
    <x v="63"/>
    <x v="0"/>
    <x v="2"/>
    <x v="3"/>
    <n v="2000"/>
  </r>
  <r>
    <x v="63"/>
    <x v="0"/>
    <x v="2"/>
    <x v="4"/>
    <n v="88090"/>
  </r>
  <r>
    <x v="63"/>
    <x v="2"/>
    <x v="2"/>
    <x v="0"/>
    <n v="45995"/>
  </r>
  <r>
    <x v="63"/>
    <x v="2"/>
    <x v="2"/>
    <x v="2"/>
    <n v="16680"/>
  </r>
  <r>
    <x v="64"/>
    <x v="0"/>
    <x v="0"/>
    <x v="0"/>
    <n v="93089"/>
  </r>
  <r>
    <x v="64"/>
    <x v="0"/>
    <x v="0"/>
    <x v="1"/>
    <n v="58586"/>
  </r>
  <r>
    <x v="64"/>
    <x v="0"/>
    <x v="0"/>
    <x v="2"/>
    <n v="51800"/>
  </r>
  <r>
    <x v="64"/>
    <x v="0"/>
    <x v="0"/>
    <x v="3"/>
    <n v="1200"/>
  </r>
  <r>
    <x v="64"/>
    <x v="0"/>
    <x v="0"/>
    <x v="4"/>
    <n v="1500"/>
  </r>
  <r>
    <x v="64"/>
    <x v="0"/>
    <x v="0"/>
    <x v="6"/>
    <n v="500"/>
  </r>
  <r>
    <x v="64"/>
    <x v="0"/>
    <x v="9"/>
    <x v="0"/>
    <n v="76701"/>
  </r>
  <r>
    <x v="64"/>
    <x v="0"/>
    <x v="9"/>
    <x v="2"/>
    <n v="26544"/>
  </r>
  <r>
    <x v="64"/>
    <x v="0"/>
    <x v="9"/>
    <x v="4"/>
    <n v="500"/>
  </r>
  <r>
    <x v="64"/>
    <x v="0"/>
    <x v="1"/>
    <x v="0"/>
    <n v="290906"/>
  </r>
  <r>
    <x v="64"/>
    <x v="0"/>
    <x v="1"/>
    <x v="1"/>
    <n v="44498"/>
  </r>
  <r>
    <x v="64"/>
    <x v="0"/>
    <x v="1"/>
    <x v="2"/>
    <n v="139511"/>
  </r>
  <r>
    <x v="64"/>
    <x v="0"/>
    <x v="1"/>
    <x v="3"/>
    <n v="600"/>
  </r>
  <r>
    <x v="64"/>
    <x v="0"/>
    <x v="1"/>
    <x v="4"/>
    <n v="252600"/>
  </r>
  <r>
    <x v="64"/>
    <x v="0"/>
    <x v="1"/>
    <x v="6"/>
    <n v="1600"/>
  </r>
  <r>
    <x v="64"/>
    <x v="0"/>
    <x v="2"/>
    <x v="5"/>
    <n v="600"/>
  </r>
  <r>
    <x v="64"/>
    <x v="0"/>
    <x v="2"/>
    <x v="0"/>
    <n v="936700"/>
  </r>
  <r>
    <x v="64"/>
    <x v="0"/>
    <x v="2"/>
    <x v="1"/>
    <n v="541312"/>
  </r>
  <r>
    <x v="64"/>
    <x v="0"/>
    <x v="2"/>
    <x v="2"/>
    <n v="705057"/>
  </r>
  <r>
    <x v="64"/>
    <x v="0"/>
    <x v="2"/>
    <x v="3"/>
    <n v="14500"/>
  </r>
  <r>
    <x v="64"/>
    <x v="0"/>
    <x v="2"/>
    <x v="4"/>
    <n v="31400"/>
  </r>
  <r>
    <x v="64"/>
    <x v="0"/>
    <x v="3"/>
    <x v="4"/>
    <n v="1100"/>
  </r>
  <r>
    <x v="64"/>
    <x v="0"/>
    <x v="8"/>
    <x v="3"/>
    <n v="4200"/>
  </r>
  <r>
    <x v="64"/>
    <x v="0"/>
    <x v="8"/>
    <x v="4"/>
    <n v="12200"/>
  </r>
  <r>
    <x v="64"/>
    <x v="0"/>
    <x v="4"/>
    <x v="0"/>
    <n v="5990"/>
  </r>
  <r>
    <x v="64"/>
    <x v="0"/>
    <x v="4"/>
    <x v="2"/>
    <n v="1374"/>
  </r>
  <r>
    <x v="64"/>
    <x v="2"/>
    <x v="1"/>
    <x v="3"/>
    <n v="15000"/>
  </r>
  <r>
    <x v="64"/>
    <x v="2"/>
    <x v="1"/>
    <x v="4"/>
    <n v="25000"/>
  </r>
  <r>
    <x v="64"/>
    <x v="2"/>
    <x v="2"/>
    <x v="3"/>
    <n v="31938"/>
  </r>
  <r>
    <x v="64"/>
    <x v="2"/>
    <x v="2"/>
    <x v="4"/>
    <n v="310000"/>
  </r>
  <r>
    <x v="64"/>
    <x v="2"/>
    <x v="3"/>
    <x v="4"/>
    <n v="3000"/>
  </r>
  <r>
    <x v="64"/>
    <x v="2"/>
    <x v="8"/>
    <x v="3"/>
    <n v="1234"/>
  </r>
  <r>
    <x v="65"/>
    <x v="0"/>
    <x v="0"/>
    <x v="5"/>
    <n v="2680"/>
  </r>
  <r>
    <x v="65"/>
    <x v="0"/>
    <x v="0"/>
    <x v="0"/>
    <n v="1483337"/>
  </r>
  <r>
    <x v="65"/>
    <x v="0"/>
    <x v="0"/>
    <x v="1"/>
    <n v="667819"/>
  </r>
  <r>
    <x v="65"/>
    <x v="0"/>
    <x v="0"/>
    <x v="2"/>
    <n v="696674"/>
  </r>
  <r>
    <x v="65"/>
    <x v="0"/>
    <x v="0"/>
    <x v="3"/>
    <n v="31811"/>
  </r>
  <r>
    <x v="65"/>
    <x v="0"/>
    <x v="0"/>
    <x v="4"/>
    <n v="89739"/>
  </r>
  <r>
    <x v="65"/>
    <x v="0"/>
    <x v="0"/>
    <x v="6"/>
    <n v="4100"/>
  </r>
  <r>
    <x v="65"/>
    <x v="0"/>
    <x v="9"/>
    <x v="1"/>
    <n v="62559"/>
  </r>
  <r>
    <x v="65"/>
    <x v="0"/>
    <x v="9"/>
    <x v="2"/>
    <n v="25171"/>
  </r>
  <r>
    <x v="65"/>
    <x v="0"/>
    <x v="9"/>
    <x v="4"/>
    <n v="24430"/>
  </r>
  <r>
    <x v="65"/>
    <x v="0"/>
    <x v="7"/>
    <x v="0"/>
    <n v="10019"/>
  </r>
  <r>
    <x v="65"/>
    <x v="0"/>
    <x v="7"/>
    <x v="1"/>
    <n v="162867"/>
  </r>
  <r>
    <x v="65"/>
    <x v="0"/>
    <x v="7"/>
    <x v="2"/>
    <n v="71770"/>
  </r>
  <r>
    <x v="65"/>
    <x v="0"/>
    <x v="7"/>
    <x v="4"/>
    <n v="628"/>
  </r>
  <r>
    <x v="65"/>
    <x v="0"/>
    <x v="1"/>
    <x v="5"/>
    <n v="1900"/>
  </r>
  <r>
    <x v="65"/>
    <x v="0"/>
    <x v="1"/>
    <x v="0"/>
    <n v="10008466"/>
  </r>
  <r>
    <x v="65"/>
    <x v="0"/>
    <x v="1"/>
    <x v="1"/>
    <n v="322255"/>
  </r>
  <r>
    <x v="65"/>
    <x v="0"/>
    <x v="1"/>
    <x v="2"/>
    <n v="3787401"/>
  </r>
  <r>
    <x v="65"/>
    <x v="0"/>
    <x v="1"/>
    <x v="3"/>
    <n v="45327"/>
  </r>
  <r>
    <x v="65"/>
    <x v="0"/>
    <x v="1"/>
    <x v="4"/>
    <n v="195355"/>
  </r>
  <r>
    <x v="65"/>
    <x v="0"/>
    <x v="1"/>
    <x v="6"/>
    <n v="4300"/>
  </r>
  <r>
    <x v="65"/>
    <x v="0"/>
    <x v="1"/>
    <x v="7"/>
    <n v="10000"/>
  </r>
  <r>
    <x v="65"/>
    <x v="0"/>
    <x v="2"/>
    <x v="5"/>
    <n v="45420"/>
  </r>
  <r>
    <x v="65"/>
    <x v="0"/>
    <x v="2"/>
    <x v="0"/>
    <n v="15271352"/>
  </r>
  <r>
    <x v="65"/>
    <x v="0"/>
    <x v="2"/>
    <x v="1"/>
    <n v="11802200"/>
  </r>
  <r>
    <x v="65"/>
    <x v="0"/>
    <x v="2"/>
    <x v="2"/>
    <n v="11630111"/>
  </r>
  <r>
    <x v="65"/>
    <x v="0"/>
    <x v="2"/>
    <x v="3"/>
    <n v="174250"/>
  </r>
  <r>
    <x v="65"/>
    <x v="0"/>
    <x v="2"/>
    <x v="4"/>
    <n v="1525462"/>
  </r>
  <r>
    <x v="65"/>
    <x v="0"/>
    <x v="2"/>
    <x v="6"/>
    <n v="14300"/>
  </r>
  <r>
    <x v="65"/>
    <x v="0"/>
    <x v="3"/>
    <x v="0"/>
    <n v="407361"/>
  </r>
  <r>
    <x v="65"/>
    <x v="0"/>
    <x v="3"/>
    <x v="1"/>
    <n v="27484"/>
  </r>
  <r>
    <x v="65"/>
    <x v="0"/>
    <x v="3"/>
    <x v="2"/>
    <n v="147419"/>
  </r>
  <r>
    <x v="65"/>
    <x v="0"/>
    <x v="3"/>
    <x v="3"/>
    <n v="8000"/>
  </r>
  <r>
    <x v="65"/>
    <x v="0"/>
    <x v="3"/>
    <x v="4"/>
    <n v="15534"/>
  </r>
  <r>
    <x v="65"/>
    <x v="0"/>
    <x v="3"/>
    <x v="6"/>
    <n v="2300"/>
  </r>
  <r>
    <x v="65"/>
    <x v="0"/>
    <x v="6"/>
    <x v="3"/>
    <n v="25000"/>
  </r>
  <r>
    <x v="65"/>
    <x v="0"/>
    <x v="8"/>
    <x v="3"/>
    <n v="15612"/>
  </r>
  <r>
    <x v="65"/>
    <x v="0"/>
    <x v="8"/>
    <x v="4"/>
    <n v="6346"/>
  </r>
  <r>
    <x v="65"/>
    <x v="0"/>
    <x v="4"/>
    <x v="0"/>
    <n v="234025"/>
  </r>
  <r>
    <x v="65"/>
    <x v="0"/>
    <x v="4"/>
    <x v="2"/>
    <n v="54106"/>
  </r>
  <r>
    <x v="65"/>
    <x v="2"/>
    <x v="0"/>
    <x v="1"/>
    <n v="183429"/>
  </r>
  <r>
    <x v="65"/>
    <x v="2"/>
    <x v="0"/>
    <x v="2"/>
    <n v="76711"/>
  </r>
  <r>
    <x v="65"/>
    <x v="2"/>
    <x v="7"/>
    <x v="1"/>
    <n v="56360"/>
  </r>
  <r>
    <x v="65"/>
    <x v="2"/>
    <x v="7"/>
    <x v="2"/>
    <n v="33533"/>
  </r>
  <r>
    <x v="65"/>
    <x v="2"/>
    <x v="2"/>
    <x v="0"/>
    <n v="1432448"/>
  </r>
  <r>
    <x v="65"/>
    <x v="2"/>
    <x v="2"/>
    <x v="1"/>
    <n v="1141940"/>
  </r>
  <r>
    <x v="65"/>
    <x v="2"/>
    <x v="2"/>
    <x v="2"/>
    <n v="1169525"/>
  </r>
  <r>
    <x v="66"/>
    <x v="0"/>
    <x v="0"/>
    <x v="5"/>
    <n v="50"/>
  </r>
  <r>
    <x v="66"/>
    <x v="0"/>
    <x v="0"/>
    <x v="0"/>
    <n v="140741"/>
  </r>
  <r>
    <x v="66"/>
    <x v="0"/>
    <x v="0"/>
    <x v="1"/>
    <n v="87061"/>
  </r>
  <r>
    <x v="66"/>
    <x v="0"/>
    <x v="0"/>
    <x v="2"/>
    <n v="87882"/>
  </r>
  <r>
    <x v="66"/>
    <x v="0"/>
    <x v="0"/>
    <x v="3"/>
    <n v="1600"/>
  </r>
  <r>
    <x v="66"/>
    <x v="0"/>
    <x v="0"/>
    <x v="4"/>
    <n v="6500"/>
  </r>
  <r>
    <x v="66"/>
    <x v="0"/>
    <x v="0"/>
    <x v="6"/>
    <n v="2000"/>
  </r>
  <r>
    <x v="66"/>
    <x v="0"/>
    <x v="1"/>
    <x v="0"/>
    <n v="708183"/>
  </r>
  <r>
    <x v="66"/>
    <x v="0"/>
    <x v="1"/>
    <x v="2"/>
    <n v="264776"/>
  </r>
  <r>
    <x v="66"/>
    <x v="0"/>
    <x v="1"/>
    <x v="3"/>
    <n v="17000"/>
  </r>
  <r>
    <x v="66"/>
    <x v="0"/>
    <x v="1"/>
    <x v="4"/>
    <n v="95000"/>
  </r>
  <r>
    <x v="66"/>
    <x v="0"/>
    <x v="1"/>
    <x v="6"/>
    <n v="2000"/>
  </r>
  <r>
    <x v="66"/>
    <x v="0"/>
    <x v="2"/>
    <x v="5"/>
    <n v="1041"/>
  </r>
  <r>
    <x v="66"/>
    <x v="0"/>
    <x v="2"/>
    <x v="0"/>
    <n v="1226285"/>
  </r>
  <r>
    <x v="66"/>
    <x v="0"/>
    <x v="2"/>
    <x v="1"/>
    <n v="1087000"/>
  </r>
  <r>
    <x v="66"/>
    <x v="0"/>
    <x v="2"/>
    <x v="2"/>
    <n v="1146763"/>
  </r>
  <r>
    <x v="66"/>
    <x v="0"/>
    <x v="2"/>
    <x v="3"/>
    <n v="29700"/>
  </r>
  <r>
    <x v="66"/>
    <x v="0"/>
    <x v="2"/>
    <x v="4"/>
    <n v="488350"/>
  </r>
  <r>
    <x v="66"/>
    <x v="0"/>
    <x v="2"/>
    <x v="6"/>
    <n v="3700"/>
  </r>
  <r>
    <x v="66"/>
    <x v="0"/>
    <x v="3"/>
    <x v="6"/>
    <n v="2000"/>
  </r>
  <r>
    <x v="66"/>
    <x v="0"/>
    <x v="6"/>
    <x v="3"/>
    <n v="2000"/>
  </r>
  <r>
    <x v="66"/>
    <x v="0"/>
    <x v="8"/>
    <x v="3"/>
    <n v="1500"/>
  </r>
  <r>
    <x v="66"/>
    <x v="2"/>
    <x v="1"/>
    <x v="3"/>
    <n v="16145"/>
  </r>
  <r>
    <x v="66"/>
    <x v="2"/>
    <x v="2"/>
    <x v="0"/>
    <n v="392437"/>
  </r>
  <r>
    <x v="66"/>
    <x v="2"/>
    <x v="2"/>
    <x v="1"/>
    <n v="91464"/>
  </r>
  <r>
    <x v="66"/>
    <x v="2"/>
    <x v="2"/>
    <x v="2"/>
    <n v="229754"/>
  </r>
  <r>
    <x v="66"/>
    <x v="2"/>
    <x v="2"/>
    <x v="3"/>
    <n v="7000"/>
  </r>
  <r>
    <x v="67"/>
    <x v="0"/>
    <x v="0"/>
    <x v="0"/>
    <n v="117771"/>
  </r>
  <r>
    <x v="67"/>
    <x v="0"/>
    <x v="0"/>
    <x v="1"/>
    <n v="51846"/>
  </r>
  <r>
    <x v="67"/>
    <x v="0"/>
    <x v="0"/>
    <x v="2"/>
    <n v="60572"/>
  </r>
  <r>
    <x v="67"/>
    <x v="0"/>
    <x v="0"/>
    <x v="3"/>
    <n v="3153"/>
  </r>
  <r>
    <x v="67"/>
    <x v="0"/>
    <x v="1"/>
    <x v="0"/>
    <n v="361874"/>
  </r>
  <r>
    <x v="67"/>
    <x v="0"/>
    <x v="1"/>
    <x v="2"/>
    <n v="145249"/>
  </r>
  <r>
    <x v="67"/>
    <x v="0"/>
    <x v="1"/>
    <x v="3"/>
    <n v="4150"/>
  </r>
  <r>
    <x v="67"/>
    <x v="0"/>
    <x v="1"/>
    <x v="4"/>
    <n v="600"/>
  </r>
  <r>
    <x v="67"/>
    <x v="0"/>
    <x v="1"/>
    <x v="6"/>
    <n v="100"/>
  </r>
  <r>
    <x v="67"/>
    <x v="0"/>
    <x v="2"/>
    <x v="5"/>
    <n v="1250"/>
  </r>
  <r>
    <x v="67"/>
    <x v="0"/>
    <x v="2"/>
    <x v="0"/>
    <n v="809259"/>
  </r>
  <r>
    <x v="67"/>
    <x v="0"/>
    <x v="2"/>
    <x v="1"/>
    <n v="357839"/>
  </r>
  <r>
    <x v="67"/>
    <x v="0"/>
    <x v="2"/>
    <x v="2"/>
    <n v="539545"/>
  </r>
  <r>
    <x v="67"/>
    <x v="0"/>
    <x v="2"/>
    <x v="3"/>
    <n v="163150"/>
  </r>
  <r>
    <x v="67"/>
    <x v="0"/>
    <x v="2"/>
    <x v="4"/>
    <n v="178227"/>
  </r>
  <r>
    <x v="67"/>
    <x v="0"/>
    <x v="2"/>
    <x v="6"/>
    <n v="1500"/>
  </r>
  <r>
    <x v="67"/>
    <x v="0"/>
    <x v="4"/>
    <x v="0"/>
    <n v="1119"/>
  </r>
  <r>
    <x v="67"/>
    <x v="0"/>
    <x v="4"/>
    <x v="2"/>
    <n v="261"/>
  </r>
  <r>
    <x v="67"/>
    <x v="2"/>
    <x v="2"/>
    <x v="0"/>
    <n v="13763"/>
  </r>
  <r>
    <x v="67"/>
    <x v="2"/>
    <x v="2"/>
    <x v="1"/>
    <n v="228405"/>
  </r>
  <r>
    <x v="67"/>
    <x v="2"/>
    <x v="2"/>
    <x v="2"/>
    <n v="155957"/>
  </r>
  <r>
    <x v="67"/>
    <x v="2"/>
    <x v="2"/>
    <x v="3"/>
    <n v="1242"/>
  </r>
  <r>
    <x v="68"/>
    <x v="0"/>
    <x v="2"/>
    <x v="0"/>
    <n v="85516"/>
  </r>
  <r>
    <x v="68"/>
    <x v="0"/>
    <x v="2"/>
    <x v="1"/>
    <n v="85320"/>
  </r>
  <r>
    <x v="68"/>
    <x v="0"/>
    <x v="2"/>
    <x v="2"/>
    <n v="89514"/>
  </r>
  <r>
    <x v="68"/>
    <x v="0"/>
    <x v="2"/>
    <x v="3"/>
    <n v="1000"/>
  </r>
  <r>
    <x v="68"/>
    <x v="0"/>
    <x v="2"/>
    <x v="4"/>
    <n v="10300"/>
  </r>
  <r>
    <x v="68"/>
    <x v="0"/>
    <x v="2"/>
    <x v="6"/>
    <n v="200"/>
  </r>
  <r>
    <x v="68"/>
    <x v="0"/>
    <x v="3"/>
    <x v="0"/>
    <n v="2650"/>
  </r>
  <r>
    <x v="68"/>
    <x v="0"/>
    <x v="3"/>
    <x v="2"/>
    <n v="623"/>
  </r>
  <r>
    <x v="68"/>
    <x v="2"/>
    <x v="2"/>
    <x v="4"/>
    <n v="30000"/>
  </r>
  <r>
    <x v="69"/>
    <x v="0"/>
    <x v="0"/>
    <x v="0"/>
    <n v="6911"/>
  </r>
  <r>
    <x v="69"/>
    <x v="0"/>
    <x v="0"/>
    <x v="2"/>
    <n v="1594"/>
  </r>
  <r>
    <x v="69"/>
    <x v="0"/>
    <x v="1"/>
    <x v="4"/>
    <n v="65724"/>
  </r>
  <r>
    <x v="69"/>
    <x v="0"/>
    <x v="2"/>
    <x v="0"/>
    <n v="73517"/>
  </r>
  <r>
    <x v="69"/>
    <x v="0"/>
    <x v="2"/>
    <x v="1"/>
    <n v="115465"/>
  </r>
  <r>
    <x v="69"/>
    <x v="0"/>
    <x v="2"/>
    <x v="2"/>
    <n v="97704"/>
  </r>
  <r>
    <x v="69"/>
    <x v="0"/>
    <x v="2"/>
    <x v="3"/>
    <n v="4340"/>
  </r>
  <r>
    <x v="69"/>
    <x v="0"/>
    <x v="2"/>
    <x v="4"/>
    <n v="825"/>
  </r>
  <r>
    <x v="69"/>
    <x v="0"/>
    <x v="3"/>
    <x v="0"/>
    <n v="452"/>
  </r>
  <r>
    <x v="69"/>
    <x v="0"/>
    <x v="3"/>
    <x v="2"/>
    <n v="44"/>
  </r>
  <r>
    <x v="69"/>
    <x v="0"/>
    <x v="3"/>
    <x v="4"/>
    <n v="500"/>
  </r>
  <r>
    <x v="69"/>
    <x v="2"/>
    <x v="0"/>
    <x v="1"/>
    <n v="5126"/>
  </r>
  <r>
    <x v="69"/>
    <x v="2"/>
    <x v="0"/>
    <x v="2"/>
    <n v="2624"/>
  </r>
  <r>
    <x v="69"/>
    <x v="2"/>
    <x v="1"/>
    <x v="4"/>
    <n v="28976"/>
  </r>
  <r>
    <x v="69"/>
    <x v="2"/>
    <x v="2"/>
    <x v="1"/>
    <n v="19218"/>
  </r>
  <r>
    <x v="69"/>
    <x v="2"/>
    <x v="2"/>
    <x v="2"/>
    <n v="11902"/>
  </r>
  <r>
    <x v="69"/>
    <x v="2"/>
    <x v="3"/>
    <x v="4"/>
    <n v="2096"/>
  </r>
  <r>
    <x v="70"/>
    <x v="0"/>
    <x v="0"/>
    <x v="0"/>
    <n v="310814"/>
  </r>
  <r>
    <x v="70"/>
    <x v="0"/>
    <x v="0"/>
    <x v="1"/>
    <n v="65067"/>
  </r>
  <r>
    <x v="70"/>
    <x v="0"/>
    <x v="0"/>
    <x v="2"/>
    <n v="118934"/>
  </r>
  <r>
    <x v="70"/>
    <x v="0"/>
    <x v="0"/>
    <x v="4"/>
    <n v="3000"/>
  </r>
  <r>
    <x v="70"/>
    <x v="0"/>
    <x v="1"/>
    <x v="0"/>
    <n v="865791"/>
  </r>
  <r>
    <x v="70"/>
    <x v="0"/>
    <x v="1"/>
    <x v="1"/>
    <n v="128360"/>
  </r>
  <r>
    <x v="70"/>
    <x v="0"/>
    <x v="1"/>
    <x v="2"/>
    <n v="375846"/>
  </r>
  <r>
    <x v="70"/>
    <x v="0"/>
    <x v="1"/>
    <x v="3"/>
    <n v="2800"/>
  </r>
  <r>
    <x v="70"/>
    <x v="0"/>
    <x v="1"/>
    <x v="4"/>
    <n v="325000"/>
  </r>
  <r>
    <x v="70"/>
    <x v="0"/>
    <x v="1"/>
    <x v="6"/>
    <n v="500"/>
  </r>
  <r>
    <x v="70"/>
    <x v="0"/>
    <x v="2"/>
    <x v="0"/>
    <n v="2830061"/>
  </r>
  <r>
    <x v="70"/>
    <x v="0"/>
    <x v="2"/>
    <x v="1"/>
    <n v="1932635"/>
  </r>
  <r>
    <x v="70"/>
    <x v="0"/>
    <x v="2"/>
    <x v="2"/>
    <n v="2233308"/>
  </r>
  <r>
    <x v="70"/>
    <x v="0"/>
    <x v="2"/>
    <x v="3"/>
    <n v="3800"/>
  </r>
  <r>
    <x v="70"/>
    <x v="0"/>
    <x v="2"/>
    <x v="4"/>
    <n v="475000"/>
  </r>
  <r>
    <x v="70"/>
    <x v="0"/>
    <x v="2"/>
    <x v="6"/>
    <n v="500"/>
  </r>
  <r>
    <x v="70"/>
    <x v="0"/>
    <x v="3"/>
    <x v="0"/>
    <n v="152799"/>
  </r>
  <r>
    <x v="70"/>
    <x v="0"/>
    <x v="3"/>
    <x v="2"/>
    <n v="35274"/>
  </r>
  <r>
    <x v="70"/>
    <x v="0"/>
    <x v="3"/>
    <x v="4"/>
    <n v="15000"/>
  </r>
  <r>
    <x v="70"/>
    <x v="0"/>
    <x v="6"/>
    <x v="3"/>
    <n v="3000"/>
  </r>
  <r>
    <x v="70"/>
    <x v="0"/>
    <x v="8"/>
    <x v="3"/>
    <n v="2500"/>
  </r>
  <r>
    <x v="70"/>
    <x v="1"/>
    <x v="1"/>
    <x v="3"/>
    <n v="31600"/>
  </r>
  <r>
    <x v="70"/>
    <x v="1"/>
    <x v="2"/>
    <x v="3"/>
    <n v="16202"/>
  </r>
  <r>
    <x v="70"/>
    <x v="1"/>
    <x v="2"/>
    <x v="4"/>
    <n v="6000"/>
  </r>
  <r>
    <x v="70"/>
    <x v="1"/>
    <x v="3"/>
    <x v="0"/>
    <n v="99567"/>
  </r>
  <r>
    <x v="70"/>
    <x v="1"/>
    <x v="3"/>
    <x v="2"/>
    <n v="22821"/>
  </r>
  <r>
    <x v="70"/>
    <x v="1"/>
    <x v="3"/>
    <x v="4"/>
    <n v="46000"/>
  </r>
  <r>
    <x v="70"/>
    <x v="1"/>
    <x v="6"/>
    <x v="3"/>
    <n v="12988"/>
  </r>
  <r>
    <x v="70"/>
    <x v="2"/>
    <x v="1"/>
    <x v="0"/>
    <n v="191895"/>
  </r>
  <r>
    <x v="70"/>
    <x v="2"/>
    <x v="1"/>
    <x v="2"/>
    <n v="68904"/>
  </r>
  <r>
    <x v="70"/>
    <x v="2"/>
    <x v="1"/>
    <x v="3"/>
    <n v="100"/>
  </r>
  <r>
    <x v="70"/>
    <x v="2"/>
    <x v="1"/>
    <x v="4"/>
    <n v="95000"/>
  </r>
  <r>
    <x v="70"/>
    <x v="2"/>
    <x v="2"/>
    <x v="0"/>
    <n v="348584"/>
  </r>
  <r>
    <x v="70"/>
    <x v="2"/>
    <x v="2"/>
    <x v="1"/>
    <n v="22151"/>
  </r>
  <r>
    <x v="70"/>
    <x v="2"/>
    <x v="2"/>
    <x v="2"/>
    <n v="141488"/>
  </r>
  <r>
    <x v="70"/>
    <x v="2"/>
    <x v="2"/>
    <x v="3"/>
    <n v="3500"/>
  </r>
  <r>
    <x v="70"/>
    <x v="2"/>
    <x v="2"/>
    <x v="4"/>
    <n v="63000"/>
  </r>
  <r>
    <x v="70"/>
    <x v="2"/>
    <x v="3"/>
    <x v="0"/>
    <n v="23394"/>
  </r>
  <r>
    <x v="70"/>
    <x v="2"/>
    <x v="3"/>
    <x v="2"/>
    <n v="5402"/>
  </r>
  <r>
    <x v="71"/>
    <x v="0"/>
    <x v="0"/>
    <x v="0"/>
    <n v="194037"/>
  </r>
  <r>
    <x v="71"/>
    <x v="0"/>
    <x v="0"/>
    <x v="1"/>
    <n v="88900"/>
  </r>
  <r>
    <x v="71"/>
    <x v="0"/>
    <x v="0"/>
    <x v="2"/>
    <n v="111196"/>
  </r>
  <r>
    <x v="71"/>
    <x v="0"/>
    <x v="0"/>
    <x v="3"/>
    <n v="5000"/>
  </r>
  <r>
    <x v="71"/>
    <x v="0"/>
    <x v="0"/>
    <x v="4"/>
    <n v="16200"/>
  </r>
  <r>
    <x v="71"/>
    <x v="0"/>
    <x v="0"/>
    <x v="6"/>
    <n v="500"/>
  </r>
  <r>
    <x v="71"/>
    <x v="0"/>
    <x v="7"/>
    <x v="1"/>
    <n v="55834"/>
  </r>
  <r>
    <x v="71"/>
    <x v="0"/>
    <x v="7"/>
    <x v="2"/>
    <n v="47688"/>
  </r>
  <r>
    <x v="71"/>
    <x v="0"/>
    <x v="1"/>
    <x v="0"/>
    <n v="381052"/>
  </r>
  <r>
    <x v="71"/>
    <x v="0"/>
    <x v="1"/>
    <x v="1"/>
    <n v="55449"/>
  </r>
  <r>
    <x v="71"/>
    <x v="0"/>
    <x v="1"/>
    <x v="2"/>
    <n v="183505"/>
  </r>
  <r>
    <x v="71"/>
    <x v="0"/>
    <x v="1"/>
    <x v="3"/>
    <n v="11000"/>
  </r>
  <r>
    <x v="71"/>
    <x v="0"/>
    <x v="1"/>
    <x v="4"/>
    <n v="373278"/>
  </r>
  <r>
    <x v="71"/>
    <x v="0"/>
    <x v="1"/>
    <x v="6"/>
    <n v="200"/>
  </r>
  <r>
    <x v="71"/>
    <x v="0"/>
    <x v="2"/>
    <x v="5"/>
    <n v="500"/>
  </r>
  <r>
    <x v="71"/>
    <x v="0"/>
    <x v="2"/>
    <x v="0"/>
    <n v="1004833"/>
  </r>
  <r>
    <x v="71"/>
    <x v="0"/>
    <x v="2"/>
    <x v="1"/>
    <n v="440842"/>
  </r>
  <r>
    <x v="71"/>
    <x v="0"/>
    <x v="2"/>
    <x v="2"/>
    <n v="634026"/>
  </r>
  <r>
    <x v="71"/>
    <x v="0"/>
    <x v="2"/>
    <x v="3"/>
    <n v="10500"/>
  </r>
  <r>
    <x v="71"/>
    <x v="0"/>
    <x v="2"/>
    <x v="4"/>
    <n v="49105"/>
  </r>
  <r>
    <x v="71"/>
    <x v="0"/>
    <x v="2"/>
    <x v="6"/>
    <n v="100"/>
  </r>
  <r>
    <x v="71"/>
    <x v="0"/>
    <x v="3"/>
    <x v="5"/>
    <n v="1000"/>
  </r>
  <r>
    <x v="71"/>
    <x v="0"/>
    <x v="3"/>
    <x v="0"/>
    <n v="830"/>
  </r>
  <r>
    <x v="71"/>
    <x v="0"/>
    <x v="3"/>
    <x v="1"/>
    <n v="1210"/>
  </r>
  <r>
    <x v="71"/>
    <x v="0"/>
    <x v="3"/>
    <x v="2"/>
    <n v="345"/>
  </r>
  <r>
    <x v="71"/>
    <x v="0"/>
    <x v="3"/>
    <x v="4"/>
    <n v="4000"/>
  </r>
  <r>
    <x v="71"/>
    <x v="0"/>
    <x v="3"/>
    <x v="6"/>
    <n v="4000"/>
  </r>
  <r>
    <x v="71"/>
    <x v="0"/>
    <x v="6"/>
    <x v="3"/>
    <n v="4000"/>
  </r>
  <r>
    <x v="71"/>
    <x v="0"/>
    <x v="6"/>
    <x v="4"/>
    <n v="6851"/>
  </r>
  <r>
    <x v="71"/>
    <x v="0"/>
    <x v="8"/>
    <x v="3"/>
    <n v="8000"/>
  </r>
  <r>
    <x v="71"/>
    <x v="0"/>
    <x v="4"/>
    <x v="0"/>
    <n v="20437"/>
  </r>
  <r>
    <x v="71"/>
    <x v="0"/>
    <x v="4"/>
    <x v="2"/>
    <n v="4187"/>
  </r>
  <r>
    <x v="71"/>
    <x v="2"/>
    <x v="2"/>
    <x v="1"/>
    <n v="323412"/>
  </r>
  <r>
    <x v="71"/>
    <x v="2"/>
    <x v="2"/>
    <x v="2"/>
    <n v="214281"/>
  </r>
  <r>
    <x v="71"/>
    <x v="2"/>
    <x v="2"/>
    <x v="3"/>
    <n v="1051"/>
  </r>
  <r>
    <x v="72"/>
    <x v="0"/>
    <x v="2"/>
    <x v="0"/>
    <n v="26897"/>
  </r>
  <r>
    <x v="72"/>
    <x v="0"/>
    <x v="2"/>
    <x v="1"/>
    <n v="16403"/>
  </r>
  <r>
    <x v="72"/>
    <x v="0"/>
    <x v="2"/>
    <x v="2"/>
    <n v="15973"/>
  </r>
  <r>
    <x v="72"/>
    <x v="0"/>
    <x v="2"/>
    <x v="3"/>
    <n v="5000"/>
  </r>
  <r>
    <x v="72"/>
    <x v="0"/>
    <x v="2"/>
    <x v="4"/>
    <n v="1500"/>
  </r>
  <r>
    <x v="72"/>
    <x v="0"/>
    <x v="5"/>
    <x v="4"/>
    <n v="58000"/>
  </r>
  <r>
    <x v="72"/>
    <x v="0"/>
    <x v="3"/>
    <x v="6"/>
    <n v="300"/>
  </r>
  <r>
    <x v="72"/>
    <x v="2"/>
    <x v="1"/>
    <x v="4"/>
    <n v="9685"/>
  </r>
  <r>
    <x v="73"/>
    <x v="0"/>
    <x v="0"/>
    <x v="5"/>
    <n v="400"/>
  </r>
  <r>
    <x v="73"/>
    <x v="0"/>
    <x v="0"/>
    <x v="0"/>
    <n v="712019"/>
  </r>
  <r>
    <x v="73"/>
    <x v="0"/>
    <x v="0"/>
    <x v="1"/>
    <n v="366123"/>
  </r>
  <r>
    <x v="73"/>
    <x v="0"/>
    <x v="0"/>
    <x v="2"/>
    <n v="338120"/>
  </r>
  <r>
    <x v="73"/>
    <x v="0"/>
    <x v="0"/>
    <x v="3"/>
    <n v="12580"/>
  </r>
  <r>
    <x v="73"/>
    <x v="0"/>
    <x v="0"/>
    <x v="4"/>
    <n v="13700"/>
  </r>
  <r>
    <x v="73"/>
    <x v="0"/>
    <x v="0"/>
    <x v="6"/>
    <n v="4300"/>
  </r>
  <r>
    <x v="73"/>
    <x v="0"/>
    <x v="7"/>
    <x v="1"/>
    <n v="902552"/>
  </r>
  <r>
    <x v="73"/>
    <x v="0"/>
    <x v="7"/>
    <x v="2"/>
    <n v="465836"/>
  </r>
  <r>
    <x v="73"/>
    <x v="0"/>
    <x v="7"/>
    <x v="4"/>
    <n v="123000"/>
  </r>
  <r>
    <x v="73"/>
    <x v="0"/>
    <x v="1"/>
    <x v="5"/>
    <n v="400"/>
  </r>
  <r>
    <x v="73"/>
    <x v="0"/>
    <x v="1"/>
    <x v="0"/>
    <n v="8184377"/>
  </r>
  <r>
    <x v="73"/>
    <x v="0"/>
    <x v="1"/>
    <x v="1"/>
    <n v="919262"/>
  </r>
  <r>
    <x v="73"/>
    <x v="0"/>
    <x v="1"/>
    <x v="2"/>
    <n v="3217734"/>
  </r>
  <r>
    <x v="73"/>
    <x v="0"/>
    <x v="1"/>
    <x v="3"/>
    <n v="51050"/>
  </r>
  <r>
    <x v="73"/>
    <x v="0"/>
    <x v="1"/>
    <x v="4"/>
    <n v="465600"/>
  </r>
  <r>
    <x v="73"/>
    <x v="0"/>
    <x v="1"/>
    <x v="6"/>
    <n v="3925"/>
  </r>
  <r>
    <x v="73"/>
    <x v="0"/>
    <x v="2"/>
    <x v="5"/>
    <n v="1500"/>
  </r>
  <r>
    <x v="73"/>
    <x v="0"/>
    <x v="2"/>
    <x v="0"/>
    <n v="15516124"/>
  </r>
  <r>
    <x v="73"/>
    <x v="0"/>
    <x v="2"/>
    <x v="1"/>
    <n v="8096728"/>
  </r>
  <r>
    <x v="73"/>
    <x v="0"/>
    <x v="2"/>
    <x v="2"/>
    <n v="9712216"/>
  </r>
  <r>
    <x v="73"/>
    <x v="0"/>
    <x v="2"/>
    <x v="3"/>
    <n v="51500"/>
  </r>
  <r>
    <x v="73"/>
    <x v="0"/>
    <x v="2"/>
    <x v="4"/>
    <n v="949319"/>
  </r>
  <r>
    <x v="73"/>
    <x v="0"/>
    <x v="2"/>
    <x v="6"/>
    <n v="3450"/>
  </r>
  <r>
    <x v="73"/>
    <x v="0"/>
    <x v="5"/>
    <x v="4"/>
    <n v="406000"/>
  </r>
  <r>
    <x v="73"/>
    <x v="0"/>
    <x v="3"/>
    <x v="0"/>
    <n v="37000"/>
  </r>
  <r>
    <x v="73"/>
    <x v="0"/>
    <x v="3"/>
    <x v="1"/>
    <n v="26000"/>
  </r>
  <r>
    <x v="73"/>
    <x v="0"/>
    <x v="3"/>
    <x v="2"/>
    <n v="13000"/>
  </r>
  <r>
    <x v="73"/>
    <x v="0"/>
    <x v="3"/>
    <x v="3"/>
    <n v="2000"/>
  </r>
  <r>
    <x v="73"/>
    <x v="0"/>
    <x v="3"/>
    <x v="4"/>
    <n v="8300"/>
  </r>
  <r>
    <x v="73"/>
    <x v="0"/>
    <x v="3"/>
    <x v="6"/>
    <n v="250"/>
  </r>
  <r>
    <x v="73"/>
    <x v="0"/>
    <x v="6"/>
    <x v="3"/>
    <n v="7000"/>
  </r>
  <r>
    <x v="73"/>
    <x v="0"/>
    <x v="6"/>
    <x v="4"/>
    <n v="1500"/>
  </r>
  <r>
    <x v="73"/>
    <x v="0"/>
    <x v="8"/>
    <x v="3"/>
    <n v="9500"/>
  </r>
  <r>
    <x v="73"/>
    <x v="0"/>
    <x v="4"/>
    <x v="0"/>
    <n v="214970"/>
  </r>
  <r>
    <x v="73"/>
    <x v="0"/>
    <x v="4"/>
    <x v="2"/>
    <n v="48025"/>
  </r>
  <r>
    <x v="73"/>
    <x v="1"/>
    <x v="0"/>
    <x v="0"/>
    <n v="34727"/>
  </r>
  <r>
    <x v="73"/>
    <x v="1"/>
    <x v="0"/>
    <x v="2"/>
    <n v="10198"/>
  </r>
  <r>
    <x v="73"/>
    <x v="1"/>
    <x v="2"/>
    <x v="0"/>
    <n v="204497"/>
  </r>
  <r>
    <x v="73"/>
    <x v="1"/>
    <x v="2"/>
    <x v="1"/>
    <n v="30239"/>
  </r>
  <r>
    <x v="73"/>
    <x v="1"/>
    <x v="2"/>
    <x v="2"/>
    <n v="90334"/>
  </r>
  <r>
    <x v="73"/>
    <x v="1"/>
    <x v="2"/>
    <x v="4"/>
    <n v="114771"/>
  </r>
  <r>
    <x v="73"/>
    <x v="2"/>
    <x v="0"/>
    <x v="1"/>
    <n v="114933"/>
  </r>
  <r>
    <x v="73"/>
    <x v="2"/>
    <x v="0"/>
    <x v="2"/>
    <n v="48122"/>
  </r>
  <r>
    <x v="73"/>
    <x v="2"/>
    <x v="9"/>
    <x v="1"/>
    <n v="79995"/>
  </r>
  <r>
    <x v="73"/>
    <x v="2"/>
    <x v="9"/>
    <x v="2"/>
    <n v="36239"/>
  </r>
  <r>
    <x v="73"/>
    <x v="2"/>
    <x v="1"/>
    <x v="0"/>
    <n v="2540153"/>
  </r>
  <r>
    <x v="73"/>
    <x v="2"/>
    <x v="1"/>
    <x v="2"/>
    <n v="833156"/>
  </r>
  <r>
    <x v="73"/>
    <x v="2"/>
    <x v="1"/>
    <x v="4"/>
    <n v="100000"/>
  </r>
  <r>
    <x v="73"/>
    <x v="2"/>
    <x v="2"/>
    <x v="0"/>
    <n v="179402"/>
  </r>
  <r>
    <x v="73"/>
    <x v="2"/>
    <x v="2"/>
    <x v="2"/>
    <n v="42466"/>
  </r>
  <r>
    <x v="73"/>
    <x v="2"/>
    <x v="2"/>
    <x v="4"/>
    <n v="375000"/>
  </r>
  <r>
    <x v="73"/>
    <x v="2"/>
    <x v="5"/>
    <x v="4"/>
    <n v="25000"/>
  </r>
  <r>
    <x v="74"/>
    <x v="0"/>
    <x v="0"/>
    <x v="0"/>
    <n v="1160581"/>
  </r>
  <r>
    <x v="74"/>
    <x v="0"/>
    <x v="0"/>
    <x v="1"/>
    <n v="281238"/>
  </r>
  <r>
    <x v="74"/>
    <x v="0"/>
    <x v="0"/>
    <x v="2"/>
    <n v="482121"/>
  </r>
  <r>
    <x v="74"/>
    <x v="0"/>
    <x v="0"/>
    <x v="3"/>
    <n v="7000"/>
  </r>
  <r>
    <x v="74"/>
    <x v="0"/>
    <x v="0"/>
    <x v="4"/>
    <n v="43975"/>
  </r>
  <r>
    <x v="74"/>
    <x v="0"/>
    <x v="0"/>
    <x v="6"/>
    <n v="8000"/>
  </r>
  <r>
    <x v="74"/>
    <x v="0"/>
    <x v="10"/>
    <x v="1"/>
    <n v="345867"/>
  </r>
  <r>
    <x v="74"/>
    <x v="0"/>
    <x v="10"/>
    <x v="2"/>
    <n v="195312"/>
  </r>
  <r>
    <x v="74"/>
    <x v="0"/>
    <x v="10"/>
    <x v="6"/>
    <n v="1000"/>
  </r>
  <r>
    <x v="74"/>
    <x v="0"/>
    <x v="7"/>
    <x v="1"/>
    <n v="95743"/>
  </r>
  <r>
    <x v="74"/>
    <x v="0"/>
    <x v="7"/>
    <x v="2"/>
    <n v="22443"/>
  </r>
  <r>
    <x v="74"/>
    <x v="0"/>
    <x v="1"/>
    <x v="0"/>
    <n v="8009012"/>
  </r>
  <r>
    <x v="74"/>
    <x v="0"/>
    <x v="1"/>
    <x v="1"/>
    <n v="476965"/>
  </r>
  <r>
    <x v="74"/>
    <x v="0"/>
    <x v="1"/>
    <x v="2"/>
    <n v="3076048"/>
  </r>
  <r>
    <x v="74"/>
    <x v="0"/>
    <x v="1"/>
    <x v="3"/>
    <n v="75500"/>
  </r>
  <r>
    <x v="74"/>
    <x v="0"/>
    <x v="1"/>
    <x v="4"/>
    <n v="300000"/>
  </r>
  <r>
    <x v="74"/>
    <x v="0"/>
    <x v="1"/>
    <x v="6"/>
    <n v="4000"/>
  </r>
  <r>
    <x v="74"/>
    <x v="0"/>
    <x v="2"/>
    <x v="0"/>
    <n v="16537087"/>
  </r>
  <r>
    <x v="74"/>
    <x v="0"/>
    <x v="2"/>
    <x v="1"/>
    <n v="8845849"/>
  </r>
  <r>
    <x v="74"/>
    <x v="0"/>
    <x v="2"/>
    <x v="2"/>
    <n v="11867086"/>
  </r>
  <r>
    <x v="74"/>
    <x v="0"/>
    <x v="2"/>
    <x v="3"/>
    <n v="48035"/>
  </r>
  <r>
    <x v="74"/>
    <x v="0"/>
    <x v="2"/>
    <x v="4"/>
    <n v="400000"/>
  </r>
  <r>
    <x v="74"/>
    <x v="0"/>
    <x v="2"/>
    <x v="6"/>
    <n v="5500"/>
  </r>
  <r>
    <x v="74"/>
    <x v="0"/>
    <x v="3"/>
    <x v="0"/>
    <n v="699847"/>
  </r>
  <r>
    <x v="74"/>
    <x v="0"/>
    <x v="3"/>
    <x v="2"/>
    <n v="201543"/>
  </r>
  <r>
    <x v="74"/>
    <x v="0"/>
    <x v="3"/>
    <x v="3"/>
    <n v="5000"/>
  </r>
  <r>
    <x v="74"/>
    <x v="0"/>
    <x v="3"/>
    <x v="6"/>
    <n v="500"/>
  </r>
  <r>
    <x v="74"/>
    <x v="0"/>
    <x v="6"/>
    <x v="3"/>
    <n v="125000"/>
  </r>
  <r>
    <x v="74"/>
    <x v="0"/>
    <x v="6"/>
    <x v="4"/>
    <n v="5000"/>
  </r>
  <r>
    <x v="74"/>
    <x v="0"/>
    <x v="4"/>
    <x v="0"/>
    <n v="377624"/>
  </r>
  <r>
    <x v="74"/>
    <x v="0"/>
    <x v="4"/>
    <x v="2"/>
    <n v="87610"/>
  </r>
  <r>
    <x v="74"/>
    <x v="1"/>
    <x v="2"/>
    <x v="1"/>
    <n v="537866"/>
  </r>
  <r>
    <x v="74"/>
    <x v="1"/>
    <x v="2"/>
    <x v="2"/>
    <n v="371629"/>
  </r>
  <r>
    <x v="74"/>
    <x v="2"/>
    <x v="7"/>
    <x v="1"/>
    <n v="3557"/>
  </r>
  <r>
    <x v="74"/>
    <x v="2"/>
    <x v="7"/>
    <x v="2"/>
    <n v="1404"/>
  </r>
  <r>
    <x v="74"/>
    <x v="2"/>
    <x v="2"/>
    <x v="1"/>
    <n v="3807212"/>
  </r>
  <r>
    <x v="74"/>
    <x v="2"/>
    <x v="2"/>
    <x v="2"/>
    <n v="2643501"/>
  </r>
  <r>
    <x v="75"/>
    <x v="0"/>
    <x v="0"/>
    <x v="0"/>
    <n v="10080"/>
  </r>
  <r>
    <x v="75"/>
    <x v="0"/>
    <x v="0"/>
    <x v="2"/>
    <n v="4268"/>
  </r>
  <r>
    <x v="75"/>
    <x v="0"/>
    <x v="1"/>
    <x v="4"/>
    <n v="6067"/>
  </r>
  <r>
    <x v="75"/>
    <x v="0"/>
    <x v="2"/>
    <x v="0"/>
    <n v="5676"/>
  </r>
  <r>
    <x v="75"/>
    <x v="0"/>
    <x v="2"/>
    <x v="1"/>
    <n v="3941"/>
  </r>
  <r>
    <x v="75"/>
    <x v="0"/>
    <x v="2"/>
    <x v="2"/>
    <n v="4715"/>
  </r>
  <r>
    <x v="75"/>
    <x v="0"/>
    <x v="3"/>
    <x v="6"/>
    <n v="150"/>
  </r>
  <r>
    <x v="75"/>
    <x v="2"/>
    <x v="1"/>
    <x v="4"/>
    <n v="14605"/>
  </r>
  <r>
    <x v="76"/>
    <x v="0"/>
    <x v="0"/>
    <x v="5"/>
    <n v="50"/>
  </r>
  <r>
    <x v="76"/>
    <x v="0"/>
    <x v="0"/>
    <x v="0"/>
    <n v="618605"/>
  </r>
  <r>
    <x v="76"/>
    <x v="0"/>
    <x v="0"/>
    <x v="1"/>
    <n v="401901"/>
  </r>
  <r>
    <x v="76"/>
    <x v="0"/>
    <x v="0"/>
    <x v="2"/>
    <n v="341079"/>
  </r>
  <r>
    <x v="76"/>
    <x v="0"/>
    <x v="0"/>
    <x v="3"/>
    <n v="6500"/>
  </r>
  <r>
    <x v="76"/>
    <x v="0"/>
    <x v="0"/>
    <x v="4"/>
    <n v="7700"/>
  </r>
  <r>
    <x v="76"/>
    <x v="0"/>
    <x v="0"/>
    <x v="6"/>
    <n v="4000"/>
  </r>
  <r>
    <x v="76"/>
    <x v="0"/>
    <x v="1"/>
    <x v="5"/>
    <n v="50"/>
  </r>
  <r>
    <x v="76"/>
    <x v="0"/>
    <x v="1"/>
    <x v="0"/>
    <n v="9303339"/>
  </r>
  <r>
    <x v="76"/>
    <x v="0"/>
    <x v="1"/>
    <x v="1"/>
    <n v="777199"/>
  </r>
  <r>
    <x v="76"/>
    <x v="0"/>
    <x v="1"/>
    <x v="2"/>
    <n v="3722930"/>
  </r>
  <r>
    <x v="76"/>
    <x v="0"/>
    <x v="1"/>
    <x v="3"/>
    <n v="157500"/>
  </r>
  <r>
    <x v="76"/>
    <x v="0"/>
    <x v="1"/>
    <x v="4"/>
    <n v="36700"/>
  </r>
  <r>
    <x v="76"/>
    <x v="0"/>
    <x v="1"/>
    <x v="6"/>
    <n v="15500"/>
  </r>
  <r>
    <x v="76"/>
    <x v="0"/>
    <x v="2"/>
    <x v="5"/>
    <n v="15800"/>
  </r>
  <r>
    <x v="76"/>
    <x v="0"/>
    <x v="2"/>
    <x v="0"/>
    <n v="12614554"/>
  </r>
  <r>
    <x v="76"/>
    <x v="0"/>
    <x v="2"/>
    <x v="1"/>
    <n v="9433300"/>
  </r>
  <r>
    <x v="76"/>
    <x v="0"/>
    <x v="2"/>
    <x v="2"/>
    <n v="10311018"/>
  </r>
  <r>
    <x v="76"/>
    <x v="0"/>
    <x v="2"/>
    <x v="3"/>
    <n v="53550"/>
  </r>
  <r>
    <x v="76"/>
    <x v="0"/>
    <x v="2"/>
    <x v="4"/>
    <n v="6563480"/>
  </r>
  <r>
    <x v="76"/>
    <x v="0"/>
    <x v="2"/>
    <x v="6"/>
    <n v="16600"/>
  </r>
  <r>
    <x v="76"/>
    <x v="0"/>
    <x v="2"/>
    <x v="7"/>
    <n v="20000"/>
  </r>
  <r>
    <x v="76"/>
    <x v="0"/>
    <x v="5"/>
    <x v="4"/>
    <n v="60000"/>
  </r>
  <r>
    <x v="76"/>
    <x v="0"/>
    <x v="3"/>
    <x v="0"/>
    <n v="625400"/>
  </r>
  <r>
    <x v="76"/>
    <x v="0"/>
    <x v="3"/>
    <x v="1"/>
    <n v="39500"/>
  </r>
  <r>
    <x v="76"/>
    <x v="0"/>
    <x v="3"/>
    <x v="2"/>
    <n v="165355"/>
  </r>
  <r>
    <x v="76"/>
    <x v="0"/>
    <x v="3"/>
    <x v="3"/>
    <n v="5000"/>
  </r>
  <r>
    <x v="76"/>
    <x v="0"/>
    <x v="3"/>
    <x v="4"/>
    <n v="43050"/>
  </r>
  <r>
    <x v="76"/>
    <x v="0"/>
    <x v="3"/>
    <x v="6"/>
    <n v="2000"/>
  </r>
  <r>
    <x v="76"/>
    <x v="0"/>
    <x v="6"/>
    <x v="3"/>
    <n v="28200"/>
  </r>
  <r>
    <x v="76"/>
    <x v="0"/>
    <x v="8"/>
    <x v="3"/>
    <n v="30500"/>
  </r>
  <r>
    <x v="76"/>
    <x v="0"/>
    <x v="8"/>
    <x v="4"/>
    <n v="49300"/>
  </r>
  <r>
    <x v="76"/>
    <x v="0"/>
    <x v="4"/>
    <x v="0"/>
    <n v="180000"/>
  </r>
  <r>
    <x v="76"/>
    <x v="0"/>
    <x v="4"/>
    <x v="2"/>
    <n v="41733"/>
  </r>
  <r>
    <x v="76"/>
    <x v="2"/>
    <x v="2"/>
    <x v="0"/>
    <n v="3141400"/>
  </r>
  <r>
    <x v="76"/>
    <x v="2"/>
    <x v="2"/>
    <x v="2"/>
    <n v="1144760"/>
  </r>
  <r>
    <x v="76"/>
    <x v="2"/>
    <x v="3"/>
    <x v="0"/>
    <n v="93653"/>
  </r>
  <r>
    <x v="76"/>
    <x v="2"/>
    <x v="3"/>
    <x v="2"/>
    <n v="21691"/>
  </r>
  <r>
    <x v="77"/>
    <x v="0"/>
    <x v="0"/>
    <x v="0"/>
    <n v="169643"/>
  </r>
  <r>
    <x v="77"/>
    <x v="0"/>
    <x v="0"/>
    <x v="1"/>
    <n v="156905"/>
  </r>
  <r>
    <x v="77"/>
    <x v="0"/>
    <x v="0"/>
    <x v="2"/>
    <n v="129096"/>
  </r>
  <r>
    <x v="77"/>
    <x v="0"/>
    <x v="0"/>
    <x v="3"/>
    <n v="4000"/>
  </r>
  <r>
    <x v="77"/>
    <x v="0"/>
    <x v="0"/>
    <x v="4"/>
    <n v="27600"/>
  </r>
  <r>
    <x v="77"/>
    <x v="0"/>
    <x v="0"/>
    <x v="6"/>
    <n v="300"/>
  </r>
  <r>
    <x v="77"/>
    <x v="0"/>
    <x v="7"/>
    <x v="1"/>
    <n v="16215"/>
  </r>
  <r>
    <x v="77"/>
    <x v="0"/>
    <x v="7"/>
    <x v="2"/>
    <n v="8487"/>
  </r>
  <r>
    <x v="77"/>
    <x v="0"/>
    <x v="7"/>
    <x v="3"/>
    <n v="4000"/>
  </r>
  <r>
    <x v="77"/>
    <x v="0"/>
    <x v="1"/>
    <x v="0"/>
    <n v="1519861"/>
  </r>
  <r>
    <x v="77"/>
    <x v="0"/>
    <x v="1"/>
    <x v="2"/>
    <n v="581110"/>
  </r>
  <r>
    <x v="77"/>
    <x v="0"/>
    <x v="1"/>
    <x v="3"/>
    <n v="20000"/>
  </r>
  <r>
    <x v="77"/>
    <x v="0"/>
    <x v="1"/>
    <x v="4"/>
    <n v="100"/>
  </r>
  <r>
    <x v="77"/>
    <x v="0"/>
    <x v="1"/>
    <x v="6"/>
    <n v="1000"/>
  </r>
  <r>
    <x v="77"/>
    <x v="0"/>
    <x v="2"/>
    <x v="5"/>
    <n v="5000"/>
  </r>
  <r>
    <x v="77"/>
    <x v="0"/>
    <x v="2"/>
    <x v="0"/>
    <n v="3200133"/>
  </r>
  <r>
    <x v="77"/>
    <x v="0"/>
    <x v="2"/>
    <x v="1"/>
    <n v="1927658"/>
  </r>
  <r>
    <x v="77"/>
    <x v="0"/>
    <x v="2"/>
    <x v="2"/>
    <n v="2453640"/>
  </r>
  <r>
    <x v="77"/>
    <x v="0"/>
    <x v="2"/>
    <x v="3"/>
    <n v="58266"/>
  </r>
  <r>
    <x v="77"/>
    <x v="0"/>
    <x v="2"/>
    <x v="4"/>
    <n v="817000"/>
  </r>
  <r>
    <x v="77"/>
    <x v="0"/>
    <x v="2"/>
    <x v="6"/>
    <n v="2000"/>
  </r>
  <r>
    <x v="77"/>
    <x v="0"/>
    <x v="11"/>
    <x v="0"/>
    <n v="1500"/>
  </r>
  <r>
    <x v="77"/>
    <x v="0"/>
    <x v="11"/>
    <x v="2"/>
    <n v="300"/>
  </r>
  <r>
    <x v="77"/>
    <x v="0"/>
    <x v="3"/>
    <x v="0"/>
    <n v="3000"/>
  </r>
  <r>
    <x v="77"/>
    <x v="0"/>
    <x v="3"/>
    <x v="1"/>
    <n v="3000"/>
  </r>
  <r>
    <x v="77"/>
    <x v="0"/>
    <x v="3"/>
    <x v="2"/>
    <n v="1200"/>
  </r>
  <r>
    <x v="77"/>
    <x v="0"/>
    <x v="3"/>
    <x v="4"/>
    <n v="22600"/>
  </r>
  <r>
    <x v="77"/>
    <x v="0"/>
    <x v="3"/>
    <x v="6"/>
    <n v="1500"/>
  </r>
  <r>
    <x v="77"/>
    <x v="0"/>
    <x v="6"/>
    <x v="3"/>
    <n v="5000"/>
  </r>
  <r>
    <x v="77"/>
    <x v="0"/>
    <x v="8"/>
    <x v="3"/>
    <n v="23000"/>
  </r>
  <r>
    <x v="77"/>
    <x v="0"/>
    <x v="8"/>
    <x v="4"/>
    <n v="6000"/>
  </r>
  <r>
    <x v="77"/>
    <x v="0"/>
    <x v="4"/>
    <x v="0"/>
    <n v="74"/>
  </r>
  <r>
    <x v="77"/>
    <x v="0"/>
    <x v="4"/>
    <x v="2"/>
    <n v="16"/>
  </r>
  <r>
    <x v="77"/>
    <x v="2"/>
    <x v="7"/>
    <x v="1"/>
    <n v="2453"/>
  </r>
  <r>
    <x v="77"/>
    <x v="2"/>
    <x v="7"/>
    <x v="2"/>
    <n v="1513"/>
  </r>
  <r>
    <x v="77"/>
    <x v="2"/>
    <x v="2"/>
    <x v="1"/>
    <n v="473914"/>
  </r>
  <r>
    <x v="77"/>
    <x v="2"/>
    <x v="2"/>
    <x v="2"/>
    <n v="301377"/>
  </r>
  <r>
    <x v="77"/>
    <x v="2"/>
    <x v="2"/>
    <x v="3"/>
    <n v="4581"/>
  </r>
  <r>
    <x v="77"/>
    <x v="2"/>
    <x v="3"/>
    <x v="3"/>
    <n v="43921"/>
  </r>
  <r>
    <x v="77"/>
    <x v="2"/>
    <x v="3"/>
    <x v="4"/>
    <n v="177180"/>
  </r>
  <r>
    <x v="77"/>
    <x v="3"/>
    <x v="2"/>
    <x v="1"/>
    <n v="55667"/>
  </r>
  <r>
    <x v="77"/>
    <x v="3"/>
    <x v="2"/>
    <x v="2"/>
    <n v="37216"/>
  </r>
  <r>
    <x v="78"/>
    <x v="0"/>
    <x v="0"/>
    <x v="0"/>
    <n v="282494"/>
  </r>
  <r>
    <x v="78"/>
    <x v="0"/>
    <x v="0"/>
    <x v="1"/>
    <n v="72019"/>
  </r>
  <r>
    <x v="78"/>
    <x v="0"/>
    <x v="0"/>
    <x v="2"/>
    <n v="108999"/>
  </r>
  <r>
    <x v="78"/>
    <x v="0"/>
    <x v="0"/>
    <x v="3"/>
    <n v="2900"/>
  </r>
  <r>
    <x v="78"/>
    <x v="0"/>
    <x v="0"/>
    <x v="4"/>
    <n v="16000"/>
  </r>
  <r>
    <x v="78"/>
    <x v="0"/>
    <x v="7"/>
    <x v="1"/>
    <n v="126370"/>
  </r>
  <r>
    <x v="78"/>
    <x v="0"/>
    <x v="7"/>
    <x v="2"/>
    <n v="88057"/>
  </r>
  <r>
    <x v="78"/>
    <x v="0"/>
    <x v="1"/>
    <x v="0"/>
    <n v="1445391"/>
  </r>
  <r>
    <x v="78"/>
    <x v="0"/>
    <x v="1"/>
    <x v="1"/>
    <n v="52139"/>
  </r>
  <r>
    <x v="78"/>
    <x v="0"/>
    <x v="1"/>
    <x v="2"/>
    <n v="523286"/>
  </r>
  <r>
    <x v="78"/>
    <x v="0"/>
    <x v="1"/>
    <x v="3"/>
    <n v="29000"/>
  </r>
  <r>
    <x v="78"/>
    <x v="0"/>
    <x v="1"/>
    <x v="4"/>
    <n v="52100"/>
  </r>
  <r>
    <x v="78"/>
    <x v="0"/>
    <x v="1"/>
    <x v="6"/>
    <n v="250"/>
  </r>
  <r>
    <x v="78"/>
    <x v="0"/>
    <x v="2"/>
    <x v="5"/>
    <n v="200"/>
  </r>
  <r>
    <x v="78"/>
    <x v="0"/>
    <x v="2"/>
    <x v="0"/>
    <n v="2316905"/>
  </r>
  <r>
    <x v="78"/>
    <x v="0"/>
    <x v="2"/>
    <x v="1"/>
    <n v="1365917"/>
  </r>
  <r>
    <x v="78"/>
    <x v="0"/>
    <x v="2"/>
    <x v="2"/>
    <n v="1622742"/>
  </r>
  <r>
    <x v="78"/>
    <x v="0"/>
    <x v="2"/>
    <x v="3"/>
    <n v="27000"/>
  </r>
  <r>
    <x v="78"/>
    <x v="0"/>
    <x v="2"/>
    <x v="4"/>
    <n v="372519"/>
  </r>
  <r>
    <x v="78"/>
    <x v="0"/>
    <x v="5"/>
    <x v="4"/>
    <n v="150000"/>
  </r>
  <r>
    <x v="78"/>
    <x v="0"/>
    <x v="3"/>
    <x v="0"/>
    <n v="5502"/>
  </r>
  <r>
    <x v="78"/>
    <x v="0"/>
    <x v="3"/>
    <x v="1"/>
    <n v="2018"/>
  </r>
  <r>
    <x v="78"/>
    <x v="0"/>
    <x v="3"/>
    <x v="2"/>
    <n v="1602"/>
  </r>
  <r>
    <x v="78"/>
    <x v="0"/>
    <x v="3"/>
    <x v="3"/>
    <n v="700"/>
  </r>
  <r>
    <x v="78"/>
    <x v="0"/>
    <x v="3"/>
    <x v="4"/>
    <n v="5500"/>
  </r>
  <r>
    <x v="78"/>
    <x v="0"/>
    <x v="3"/>
    <x v="6"/>
    <n v="1000"/>
  </r>
  <r>
    <x v="78"/>
    <x v="0"/>
    <x v="8"/>
    <x v="3"/>
    <n v="15000"/>
  </r>
  <r>
    <x v="78"/>
    <x v="1"/>
    <x v="2"/>
    <x v="1"/>
    <n v="30740"/>
  </r>
  <r>
    <x v="78"/>
    <x v="1"/>
    <x v="2"/>
    <x v="2"/>
    <n v="18632"/>
  </r>
  <r>
    <x v="78"/>
    <x v="2"/>
    <x v="2"/>
    <x v="0"/>
    <n v="284401"/>
  </r>
  <r>
    <x v="78"/>
    <x v="2"/>
    <x v="2"/>
    <x v="1"/>
    <n v="243169"/>
  </r>
  <r>
    <x v="78"/>
    <x v="2"/>
    <x v="2"/>
    <x v="2"/>
    <n v="247092"/>
  </r>
  <r>
    <x v="78"/>
    <x v="2"/>
    <x v="2"/>
    <x v="3"/>
    <n v="210"/>
  </r>
  <r>
    <x v="79"/>
    <x v="0"/>
    <x v="0"/>
    <x v="0"/>
    <n v="70153"/>
  </r>
  <r>
    <x v="79"/>
    <x v="0"/>
    <x v="0"/>
    <x v="1"/>
    <n v="14255"/>
  </r>
  <r>
    <x v="79"/>
    <x v="0"/>
    <x v="0"/>
    <x v="2"/>
    <n v="33960"/>
  </r>
  <r>
    <x v="79"/>
    <x v="0"/>
    <x v="1"/>
    <x v="0"/>
    <n v="96812"/>
  </r>
  <r>
    <x v="79"/>
    <x v="0"/>
    <x v="1"/>
    <x v="1"/>
    <n v="18154"/>
  </r>
  <r>
    <x v="79"/>
    <x v="0"/>
    <x v="1"/>
    <x v="2"/>
    <n v="50078"/>
  </r>
  <r>
    <x v="79"/>
    <x v="0"/>
    <x v="2"/>
    <x v="0"/>
    <n v="381417"/>
  </r>
  <r>
    <x v="79"/>
    <x v="0"/>
    <x v="2"/>
    <x v="1"/>
    <n v="128353"/>
  </r>
  <r>
    <x v="79"/>
    <x v="0"/>
    <x v="2"/>
    <x v="2"/>
    <n v="233356"/>
  </r>
  <r>
    <x v="79"/>
    <x v="0"/>
    <x v="2"/>
    <x v="4"/>
    <n v="250000"/>
  </r>
  <r>
    <x v="79"/>
    <x v="2"/>
    <x v="2"/>
    <x v="0"/>
    <n v="1000"/>
  </r>
  <r>
    <x v="79"/>
    <x v="2"/>
    <x v="2"/>
    <x v="1"/>
    <n v="80360"/>
  </r>
  <r>
    <x v="79"/>
    <x v="2"/>
    <x v="2"/>
    <x v="2"/>
    <n v="49783"/>
  </r>
  <r>
    <x v="79"/>
    <x v="2"/>
    <x v="2"/>
    <x v="3"/>
    <n v="98541"/>
  </r>
  <r>
    <x v="80"/>
    <x v="0"/>
    <x v="0"/>
    <x v="0"/>
    <n v="398159"/>
  </r>
  <r>
    <x v="80"/>
    <x v="0"/>
    <x v="0"/>
    <x v="1"/>
    <n v="129958"/>
  </r>
  <r>
    <x v="80"/>
    <x v="0"/>
    <x v="0"/>
    <x v="2"/>
    <n v="175037"/>
  </r>
  <r>
    <x v="80"/>
    <x v="0"/>
    <x v="0"/>
    <x v="3"/>
    <n v="11000"/>
  </r>
  <r>
    <x v="80"/>
    <x v="0"/>
    <x v="0"/>
    <x v="4"/>
    <n v="4350"/>
  </r>
  <r>
    <x v="80"/>
    <x v="0"/>
    <x v="0"/>
    <x v="6"/>
    <n v="8000"/>
  </r>
  <r>
    <x v="80"/>
    <x v="0"/>
    <x v="9"/>
    <x v="0"/>
    <n v="471757"/>
  </r>
  <r>
    <x v="80"/>
    <x v="0"/>
    <x v="9"/>
    <x v="2"/>
    <n v="173585"/>
  </r>
  <r>
    <x v="80"/>
    <x v="0"/>
    <x v="1"/>
    <x v="0"/>
    <n v="3599378"/>
  </r>
  <r>
    <x v="80"/>
    <x v="0"/>
    <x v="1"/>
    <x v="1"/>
    <n v="82781"/>
  </r>
  <r>
    <x v="80"/>
    <x v="0"/>
    <x v="1"/>
    <x v="2"/>
    <n v="1366582"/>
  </r>
  <r>
    <x v="80"/>
    <x v="0"/>
    <x v="1"/>
    <x v="3"/>
    <n v="33250"/>
  </r>
  <r>
    <x v="80"/>
    <x v="0"/>
    <x v="1"/>
    <x v="4"/>
    <n v="260000"/>
  </r>
  <r>
    <x v="80"/>
    <x v="0"/>
    <x v="1"/>
    <x v="6"/>
    <n v="3500"/>
  </r>
  <r>
    <x v="80"/>
    <x v="0"/>
    <x v="2"/>
    <x v="0"/>
    <n v="5112823"/>
  </r>
  <r>
    <x v="80"/>
    <x v="0"/>
    <x v="2"/>
    <x v="1"/>
    <n v="3808951"/>
  </r>
  <r>
    <x v="80"/>
    <x v="0"/>
    <x v="2"/>
    <x v="2"/>
    <n v="4324779"/>
  </r>
  <r>
    <x v="80"/>
    <x v="0"/>
    <x v="2"/>
    <x v="3"/>
    <n v="157750"/>
  </r>
  <r>
    <x v="80"/>
    <x v="0"/>
    <x v="2"/>
    <x v="4"/>
    <n v="145250"/>
  </r>
  <r>
    <x v="80"/>
    <x v="0"/>
    <x v="2"/>
    <x v="6"/>
    <n v="600"/>
  </r>
  <r>
    <x v="80"/>
    <x v="0"/>
    <x v="3"/>
    <x v="0"/>
    <n v="767896"/>
  </r>
  <r>
    <x v="80"/>
    <x v="0"/>
    <x v="3"/>
    <x v="2"/>
    <n v="241590"/>
  </r>
  <r>
    <x v="80"/>
    <x v="0"/>
    <x v="3"/>
    <x v="3"/>
    <n v="2500"/>
  </r>
  <r>
    <x v="80"/>
    <x v="0"/>
    <x v="3"/>
    <x v="4"/>
    <n v="15000"/>
  </r>
  <r>
    <x v="80"/>
    <x v="0"/>
    <x v="3"/>
    <x v="6"/>
    <n v="10000"/>
  </r>
  <r>
    <x v="80"/>
    <x v="2"/>
    <x v="1"/>
    <x v="0"/>
    <n v="5600"/>
  </r>
  <r>
    <x v="80"/>
    <x v="2"/>
    <x v="1"/>
    <x v="2"/>
    <n v="1288"/>
  </r>
  <r>
    <x v="80"/>
    <x v="2"/>
    <x v="1"/>
    <x v="4"/>
    <n v="825000"/>
  </r>
  <r>
    <x v="80"/>
    <x v="2"/>
    <x v="2"/>
    <x v="1"/>
    <n v="65536"/>
  </r>
  <r>
    <x v="80"/>
    <x v="2"/>
    <x v="2"/>
    <x v="2"/>
    <n v="39733"/>
  </r>
  <r>
    <x v="80"/>
    <x v="2"/>
    <x v="2"/>
    <x v="4"/>
    <n v="1115000"/>
  </r>
  <r>
    <x v="81"/>
    <x v="0"/>
    <x v="0"/>
    <x v="0"/>
    <n v="106266"/>
  </r>
  <r>
    <x v="81"/>
    <x v="0"/>
    <x v="0"/>
    <x v="2"/>
    <n v="36687"/>
  </r>
  <r>
    <x v="81"/>
    <x v="0"/>
    <x v="0"/>
    <x v="3"/>
    <n v="10000"/>
  </r>
  <r>
    <x v="81"/>
    <x v="0"/>
    <x v="10"/>
    <x v="1"/>
    <n v="26435"/>
  </r>
  <r>
    <x v="81"/>
    <x v="0"/>
    <x v="10"/>
    <x v="2"/>
    <n v="15954"/>
  </r>
  <r>
    <x v="81"/>
    <x v="0"/>
    <x v="1"/>
    <x v="0"/>
    <n v="62331"/>
  </r>
  <r>
    <x v="81"/>
    <x v="0"/>
    <x v="1"/>
    <x v="2"/>
    <n v="26732"/>
  </r>
  <r>
    <x v="81"/>
    <x v="0"/>
    <x v="1"/>
    <x v="3"/>
    <n v="300"/>
  </r>
  <r>
    <x v="81"/>
    <x v="0"/>
    <x v="1"/>
    <x v="4"/>
    <n v="150500"/>
  </r>
  <r>
    <x v="81"/>
    <x v="0"/>
    <x v="2"/>
    <x v="0"/>
    <n v="363813"/>
  </r>
  <r>
    <x v="81"/>
    <x v="0"/>
    <x v="2"/>
    <x v="1"/>
    <n v="217022"/>
  </r>
  <r>
    <x v="81"/>
    <x v="0"/>
    <x v="2"/>
    <x v="2"/>
    <n v="331307"/>
  </r>
  <r>
    <x v="81"/>
    <x v="0"/>
    <x v="2"/>
    <x v="3"/>
    <n v="1500"/>
  </r>
  <r>
    <x v="81"/>
    <x v="0"/>
    <x v="2"/>
    <x v="4"/>
    <n v="2750"/>
  </r>
  <r>
    <x v="81"/>
    <x v="0"/>
    <x v="3"/>
    <x v="4"/>
    <n v="500"/>
  </r>
  <r>
    <x v="81"/>
    <x v="0"/>
    <x v="6"/>
    <x v="4"/>
    <n v="1500"/>
  </r>
  <r>
    <x v="81"/>
    <x v="2"/>
    <x v="2"/>
    <x v="0"/>
    <n v="57973"/>
  </r>
  <r>
    <x v="81"/>
    <x v="2"/>
    <x v="2"/>
    <x v="1"/>
    <n v="46066"/>
  </r>
  <r>
    <x v="81"/>
    <x v="2"/>
    <x v="2"/>
    <x v="2"/>
    <n v="59355"/>
  </r>
  <r>
    <x v="81"/>
    <x v="2"/>
    <x v="2"/>
    <x v="3"/>
    <n v="100"/>
  </r>
  <r>
    <x v="82"/>
    <x v="0"/>
    <x v="2"/>
    <x v="0"/>
    <n v="61522"/>
  </r>
  <r>
    <x v="82"/>
    <x v="0"/>
    <x v="2"/>
    <x v="1"/>
    <n v="30867"/>
  </r>
  <r>
    <x v="82"/>
    <x v="0"/>
    <x v="2"/>
    <x v="2"/>
    <n v="50006"/>
  </r>
  <r>
    <x v="82"/>
    <x v="0"/>
    <x v="2"/>
    <x v="3"/>
    <n v="4000"/>
  </r>
  <r>
    <x v="82"/>
    <x v="0"/>
    <x v="2"/>
    <x v="4"/>
    <n v="400"/>
  </r>
  <r>
    <x v="82"/>
    <x v="0"/>
    <x v="2"/>
    <x v="6"/>
    <n v="2000"/>
  </r>
  <r>
    <x v="82"/>
    <x v="2"/>
    <x v="1"/>
    <x v="4"/>
    <n v="32116"/>
  </r>
  <r>
    <x v="83"/>
    <x v="0"/>
    <x v="5"/>
    <x v="4"/>
    <n v="71108"/>
  </r>
  <r>
    <x v="84"/>
    <x v="0"/>
    <x v="2"/>
    <x v="4"/>
    <n v="3420496"/>
  </r>
  <r>
    <x v="85"/>
    <x v="0"/>
    <x v="0"/>
    <x v="0"/>
    <n v="58575"/>
  </r>
  <r>
    <x v="85"/>
    <x v="0"/>
    <x v="0"/>
    <x v="2"/>
    <n v="23496"/>
  </r>
  <r>
    <x v="85"/>
    <x v="0"/>
    <x v="0"/>
    <x v="3"/>
    <n v="125"/>
  </r>
  <r>
    <x v="85"/>
    <x v="0"/>
    <x v="0"/>
    <x v="6"/>
    <n v="800"/>
  </r>
  <r>
    <x v="85"/>
    <x v="0"/>
    <x v="1"/>
    <x v="3"/>
    <n v="700"/>
  </r>
  <r>
    <x v="85"/>
    <x v="0"/>
    <x v="1"/>
    <x v="4"/>
    <n v="258000"/>
  </r>
  <r>
    <x v="85"/>
    <x v="0"/>
    <x v="2"/>
    <x v="0"/>
    <n v="119666"/>
  </r>
  <r>
    <x v="85"/>
    <x v="0"/>
    <x v="2"/>
    <x v="1"/>
    <n v="435305"/>
  </r>
  <r>
    <x v="85"/>
    <x v="0"/>
    <x v="2"/>
    <x v="2"/>
    <n v="331030"/>
  </r>
  <r>
    <x v="85"/>
    <x v="0"/>
    <x v="2"/>
    <x v="3"/>
    <n v="4000"/>
  </r>
  <r>
    <x v="85"/>
    <x v="0"/>
    <x v="11"/>
    <x v="1"/>
    <n v="7635"/>
  </r>
  <r>
    <x v="85"/>
    <x v="0"/>
    <x v="11"/>
    <x v="2"/>
    <n v="2176"/>
  </r>
  <r>
    <x v="85"/>
    <x v="0"/>
    <x v="3"/>
    <x v="0"/>
    <n v="1488"/>
  </r>
  <r>
    <x v="85"/>
    <x v="0"/>
    <x v="3"/>
    <x v="2"/>
    <n v="346"/>
  </r>
  <r>
    <x v="85"/>
    <x v="0"/>
    <x v="3"/>
    <x v="4"/>
    <n v="1500"/>
  </r>
  <r>
    <x v="85"/>
    <x v="0"/>
    <x v="3"/>
    <x v="6"/>
    <n v="600"/>
  </r>
  <r>
    <x v="85"/>
    <x v="0"/>
    <x v="4"/>
    <x v="0"/>
    <n v="1488"/>
  </r>
  <r>
    <x v="85"/>
    <x v="0"/>
    <x v="4"/>
    <x v="2"/>
    <n v="346"/>
  </r>
  <r>
    <x v="85"/>
    <x v="2"/>
    <x v="1"/>
    <x v="4"/>
    <n v="5797"/>
  </r>
  <r>
    <x v="85"/>
    <x v="2"/>
    <x v="2"/>
    <x v="0"/>
    <n v="115887"/>
  </r>
  <r>
    <x v="85"/>
    <x v="2"/>
    <x v="2"/>
    <x v="2"/>
    <n v="47912"/>
  </r>
  <r>
    <x v="85"/>
    <x v="3"/>
    <x v="0"/>
    <x v="0"/>
    <n v="12144"/>
  </r>
  <r>
    <x v="85"/>
    <x v="3"/>
    <x v="0"/>
    <x v="2"/>
    <n v="5299"/>
  </r>
  <r>
    <x v="85"/>
    <x v="3"/>
    <x v="1"/>
    <x v="4"/>
    <n v="5639"/>
  </r>
  <r>
    <x v="86"/>
    <x v="0"/>
    <x v="0"/>
    <x v="0"/>
    <n v="147610"/>
  </r>
  <r>
    <x v="86"/>
    <x v="0"/>
    <x v="0"/>
    <x v="1"/>
    <n v="48849"/>
  </r>
  <r>
    <x v="86"/>
    <x v="0"/>
    <x v="0"/>
    <x v="2"/>
    <n v="66050"/>
  </r>
  <r>
    <x v="86"/>
    <x v="0"/>
    <x v="0"/>
    <x v="3"/>
    <n v="4000"/>
  </r>
  <r>
    <x v="86"/>
    <x v="0"/>
    <x v="0"/>
    <x v="4"/>
    <n v="2120"/>
  </r>
  <r>
    <x v="86"/>
    <x v="0"/>
    <x v="0"/>
    <x v="6"/>
    <n v="2000"/>
  </r>
  <r>
    <x v="86"/>
    <x v="0"/>
    <x v="1"/>
    <x v="0"/>
    <n v="203541"/>
  </r>
  <r>
    <x v="86"/>
    <x v="0"/>
    <x v="1"/>
    <x v="1"/>
    <n v="302289"/>
  </r>
  <r>
    <x v="86"/>
    <x v="0"/>
    <x v="1"/>
    <x v="2"/>
    <n v="236474"/>
  </r>
  <r>
    <x v="86"/>
    <x v="0"/>
    <x v="1"/>
    <x v="3"/>
    <n v="6000"/>
  </r>
  <r>
    <x v="86"/>
    <x v="0"/>
    <x v="1"/>
    <x v="4"/>
    <n v="1066784"/>
  </r>
  <r>
    <x v="86"/>
    <x v="0"/>
    <x v="1"/>
    <x v="6"/>
    <n v="1000"/>
  </r>
  <r>
    <x v="86"/>
    <x v="0"/>
    <x v="2"/>
    <x v="5"/>
    <n v="1500"/>
  </r>
  <r>
    <x v="86"/>
    <x v="0"/>
    <x v="2"/>
    <x v="0"/>
    <n v="1469665"/>
  </r>
  <r>
    <x v="86"/>
    <x v="0"/>
    <x v="2"/>
    <x v="1"/>
    <n v="922269"/>
  </r>
  <r>
    <x v="86"/>
    <x v="0"/>
    <x v="2"/>
    <x v="2"/>
    <n v="1159338"/>
  </r>
  <r>
    <x v="86"/>
    <x v="0"/>
    <x v="2"/>
    <x v="4"/>
    <n v="647280"/>
  </r>
  <r>
    <x v="86"/>
    <x v="0"/>
    <x v="2"/>
    <x v="6"/>
    <n v="22900"/>
  </r>
  <r>
    <x v="86"/>
    <x v="0"/>
    <x v="3"/>
    <x v="0"/>
    <n v="39239"/>
  </r>
  <r>
    <x v="86"/>
    <x v="0"/>
    <x v="3"/>
    <x v="1"/>
    <n v="5000"/>
  </r>
  <r>
    <x v="86"/>
    <x v="0"/>
    <x v="3"/>
    <x v="2"/>
    <n v="9696"/>
  </r>
  <r>
    <x v="86"/>
    <x v="0"/>
    <x v="3"/>
    <x v="4"/>
    <n v="200"/>
  </r>
  <r>
    <x v="86"/>
    <x v="0"/>
    <x v="6"/>
    <x v="4"/>
    <n v="1300"/>
  </r>
  <r>
    <x v="86"/>
    <x v="0"/>
    <x v="4"/>
    <x v="0"/>
    <n v="24030"/>
  </r>
  <r>
    <x v="86"/>
    <x v="0"/>
    <x v="4"/>
    <x v="2"/>
    <n v="5567"/>
  </r>
  <r>
    <x v="86"/>
    <x v="1"/>
    <x v="0"/>
    <x v="1"/>
    <n v="30681"/>
  </r>
  <r>
    <x v="86"/>
    <x v="1"/>
    <x v="0"/>
    <x v="2"/>
    <n v="15715"/>
  </r>
  <r>
    <x v="86"/>
    <x v="1"/>
    <x v="1"/>
    <x v="4"/>
    <n v="14894"/>
  </r>
  <r>
    <x v="86"/>
    <x v="1"/>
    <x v="2"/>
    <x v="1"/>
    <n v="29646"/>
  </r>
  <r>
    <x v="86"/>
    <x v="1"/>
    <x v="2"/>
    <x v="2"/>
    <n v="18612"/>
  </r>
  <r>
    <x v="86"/>
    <x v="1"/>
    <x v="2"/>
    <x v="4"/>
    <n v="83228"/>
  </r>
  <r>
    <x v="86"/>
    <x v="2"/>
    <x v="2"/>
    <x v="1"/>
    <n v="433553"/>
  </r>
  <r>
    <x v="86"/>
    <x v="2"/>
    <x v="2"/>
    <x v="2"/>
    <n v="262301"/>
  </r>
  <r>
    <x v="86"/>
    <x v="2"/>
    <x v="2"/>
    <x v="3"/>
    <n v="3700"/>
  </r>
  <r>
    <x v="86"/>
    <x v="2"/>
    <x v="2"/>
    <x v="4"/>
    <n v="1577"/>
  </r>
  <r>
    <x v="87"/>
    <x v="0"/>
    <x v="0"/>
    <x v="0"/>
    <n v="133660"/>
  </r>
  <r>
    <x v="87"/>
    <x v="0"/>
    <x v="0"/>
    <x v="1"/>
    <n v="30105"/>
  </r>
  <r>
    <x v="87"/>
    <x v="0"/>
    <x v="0"/>
    <x v="2"/>
    <n v="56205"/>
  </r>
  <r>
    <x v="87"/>
    <x v="0"/>
    <x v="0"/>
    <x v="3"/>
    <n v="2500"/>
  </r>
  <r>
    <x v="87"/>
    <x v="0"/>
    <x v="9"/>
    <x v="1"/>
    <n v="8826"/>
  </r>
  <r>
    <x v="87"/>
    <x v="0"/>
    <x v="9"/>
    <x v="2"/>
    <n v="4925"/>
  </r>
  <r>
    <x v="87"/>
    <x v="0"/>
    <x v="1"/>
    <x v="0"/>
    <n v="169404"/>
  </r>
  <r>
    <x v="87"/>
    <x v="0"/>
    <x v="1"/>
    <x v="1"/>
    <n v="131902"/>
  </r>
  <r>
    <x v="87"/>
    <x v="0"/>
    <x v="1"/>
    <x v="2"/>
    <n v="129983"/>
  </r>
  <r>
    <x v="87"/>
    <x v="0"/>
    <x v="1"/>
    <x v="4"/>
    <n v="121790"/>
  </r>
  <r>
    <x v="87"/>
    <x v="0"/>
    <x v="2"/>
    <x v="0"/>
    <n v="650069"/>
  </r>
  <r>
    <x v="87"/>
    <x v="0"/>
    <x v="2"/>
    <x v="1"/>
    <n v="149978"/>
  </r>
  <r>
    <x v="87"/>
    <x v="0"/>
    <x v="2"/>
    <x v="2"/>
    <n v="347113"/>
  </r>
  <r>
    <x v="87"/>
    <x v="0"/>
    <x v="2"/>
    <x v="3"/>
    <n v="27500"/>
  </r>
  <r>
    <x v="87"/>
    <x v="2"/>
    <x v="2"/>
    <x v="1"/>
    <n v="166923"/>
  </r>
  <r>
    <x v="87"/>
    <x v="2"/>
    <x v="2"/>
    <x v="2"/>
    <n v="111165"/>
  </r>
  <r>
    <x v="87"/>
    <x v="2"/>
    <x v="2"/>
    <x v="3"/>
    <n v="21525"/>
  </r>
  <r>
    <x v="88"/>
    <x v="0"/>
    <x v="0"/>
    <x v="0"/>
    <n v="165514"/>
  </r>
  <r>
    <x v="88"/>
    <x v="0"/>
    <x v="0"/>
    <x v="1"/>
    <n v="85038"/>
  </r>
  <r>
    <x v="88"/>
    <x v="0"/>
    <x v="0"/>
    <x v="2"/>
    <n v="83137"/>
  </r>
  <r>
    <x v="88"/>
    <x v="0"/>
    <x v="9"/>
    <x v="3"/>
    <n v="5000"/>
  </r>
  <r>
    <x v="88"/>
    <x v="0"/>
    <x v="9"/>
    <x v="4"/>
    <n v="10000"/>
  </r>
  <r>
    <x v="88"/>
    <x v="0"/>
    <x v="7"/>
    <x v="1"/>
    <n v="78043"/>
  </r>
  <r>
    <x v="88"/>
    <x v="0"/>
    <x v="7"/>
    <x v="2"/>
    <n v="37598"/>
  </r>
  <r>
    <x v="88"/>
    <x v="0"/>
    <x v="1"/>
    <x v="0"/>
    <n v="223755"/>
  </r>
  <r>
    <x v="88"/>
    <x v="0"/>
    <x v="1"/>
    <x v="1"/>
    <n v="228653"/>
  </r>
  <r>
    <x v="88"/>
    <x v="0"/>
    <x v="1"/>
    <x v="2"/>
    <n v="191811"/>
  </r>
  <r>
    <x v="88"/>
    <x v="0"/>
    <x v="1"/>
    <x v="4"/>
    <n v="60000"/>
  </r>
  <r>
    <x v="88"/>
    <x v="0"/>
    <x v="2"/>
    <x v="0"/>
    <n v="1815890"/>
  </r>
  <r>
    <x v="88"/>
    <x v="0"/>
    <x v="2"/>
    <x v="1"/>
    <n v="1287906"/>
  </r>
  <r>
    <x v="88"/>
    <x v="0"/>
    <x v="2"/>
    <x v="2"/>
    <n v="1478757"/>
  </r>
  <r>
    <x v="88"/>
    <x v="0"/>
    <x v="5"/>
    <x v="4"/>
    <n v="620000"/>
  </r>
  <r>
    <x v="88"/>
    <x v="2"/>
    <x v="9"/>
    <x v="4"/>
    <n v="135000"/>
  </r>
  <r>
    <x v="88"/>
    <x v="2"/>
    <x v="1"/>
    <x v="0"/>
    <n v="123182"/>
  </r>
  <r>
    <x v="88"/>
    <x v="2"/>
    <x v="1"/>
    <x v="2"/>
    <n v="40354"/>
  </r>
  <r>
    <x v="88"/>
    <x v="2"/>
    <x v="2"/>
    <x v="0"/>
    <n v="39014"/>
  </r>
  <r>
    <x v="88"/>
    <x v="2"/>
    <x v="2"/>
    <x v="1"/>
    <n v="17068"/>
  </r>
  <r>
    <x v="88"/>
    <x v="2"/>
    <x v="2"/>
    <x v="2"/>
    <n v="27830"/>
  </r>
  <r>
    <x v="88"/>
    <x v="2"/>
    <x v="2"/>
    <x v="4"/>
    <n v="60000"/>
  </r>
  <r>
    <x v="89"/>
    <x v="0"/>
    <x v="2"/>
    <x v="0"/>
    <n v="103752"/>
  </r>
  <r>
    <x v="89"/>
    <x v="0"/>
    <x v="2"/>
    <x v="1"/>
    <n v="63634"/>
  </r>
  <r>
    <x v="89"/>
    <x v="0"/>
    <x v="2"/>
    <x v="2"/>
    <n v="68600"/>
  </r>
  <r>
    <x v="89"/>
    <x v="0"/>
    <x v="5"/>
    <x v="4"/>
    <n v="101829"/>
  </r>
  <r>
    <x v="89"/>
    <x v="0"/>
    <x v="4"/>
    <x v="0"/>
    <n v="2306"/>
  </r>
  <r>
    <x v="89"/>
    <x v="0"/>
    <x v="4"/>
    <x v="2"/>
    <n v="516"/>
  </r>
  <r>
    <x v="89"/>
    <x v="2"/>
    <x v="5"/>
    <x v="4"/>
    <n v="39171"/>
  </r>
  <r>
    <x v="90"/>
    <x v="0"/>
    <x v="1"/>
    <x v="4"/>
    <n v="10000"/>
  </r>
  <r>
    <x v="90"/>
    <x v="0"/>
    <x v="2"/>
    <x v="0"/>
    <n v="22828"/>
  </r>
  <r>
    <x v="90"/>
    <x v="0"/>
    <x v="2"/>
    <x v="2"/>
    <n v="5208"/>
  </r>
  <r>
    <x v="90"/>
    <x v="0"/>
    <x v="2"/>
    <x v="3"/>
    <n v="5000"/>
  </r>
  <r>
    <x v="90"/>
    <x v="2"/>
    <x v="1"/>
    <x v="4"/>
    <n v="7418"/>
  </r>
  <r>
    <x v="91"/>
    <x v="0"/>
    <x v="5"/>
    <x v="4"/>
    <n v="225127"/>
  </r>
  <r>
    <x v="92"/>
    <x v="0"/>
    <x v="0"/>
    <x v="0"/>
    <n v="55530"/>
  </r>
  <r>
    <x v="92"/>
    <x v="0"/>
    <x v="0"/>
    <x v="2"/>
    <n v="18860"/>
  </r>
  <r>
    <x v="92"/>
    <x v="0"/>
    <x v="0"/>
    <x v="3"/>
    <n v="50"/>
  </r>
  <r>
    <x v="92"/>
    <x v="0"/>
    <x v="10"/>
    <x v="1"/>
    <n v="9623"/>
  </r>
  <r>
    <x v="92"/>
    <x v="0"/>
    <x v="10"/>
    <x v="2"/>
    <n v="13290"/>
  </r>
  <r>
    <x v="92"/>
    <x v="0"/>
    <x v="1"/>
    <x v="0"/>
    <n v="69655"/>
  </r>
  <r>
    <x v="92"/>
    <x v="0"/>
    <x v="1"/>
    <x v="2"/>
    <n v="28070"/>
  </r>
  <r>
    <x v="92"/>
    <x v="0"/>
    <x v="1"/>
    <x v="3"/>
    <n v="400"/>
  </r>
  <r>
    <x v="92"/>
    <x v="0"/>
    <x v="1"/>
    <x v="4"/>
    <n v="136000"/>
  </r>
  <r>
    <x v="92"/>
    <x v="0"/>
    <x v="2"/>
    <x v="5"/>
    <n v="10000"/>
  </r>
  <r>
    <x v="92"/>
    <x v="0"/>
    <x v="2"/>
    <x v="0"/>
    <n v="258807"/>
  </r>
  <r>
    <x v="92"/>
    <x v="0"/>
    <x v="2"/>
    <x v="1"/>
    <n v="202753"/>
  </r>
  <r>
    <x v="92"/>
    <x v="0"/>
    <x v="2"/>
    <x v="2"/>
    <n v="218073"/>
  </r>
  <r>
    <x v="92"/>
    <x v="0"/>
    <x v="2"/>
    <x v="3"/>
    <n v="199"/>
  </r>
  <r>
    <x v="92"/>
    <x v="0"/>
    <x v="2"/>
    <x v="4"/>
    <n v="2200"/>
  </r>
  <r>
    <x v="92"/>
    <x v="0"/>
    <x v="6"/>
    <x v="3"/>
    <n v="250"/>
  </r>
  <r>
    <x v="92"/>
    <x v="2"/>
    <x v="1"/>
    <x v="0"/>
    <n v="49601"/>
  </r>
  <r>
    <x v="92"/>
    <x v="2"/>
    <x v="1"/>
    <x v="2"/>
    <n v="17345"/>
  </r>
  <r>
    <x v="92"/>
    <x v="2"/>
    <x v="1"/>
    <x v="4"/>
    <n v="8000"/>
  </r>
  <r>
    <x v="92"/>
    <x v="2"/>
    <x v="2"/>
    <x v="1"/>
    <n v="18969"/>
  </r>
  <r>
    <x v="92"/>
    <x v="2"/>
    <x v="2"/>
    <x v="2"/>
    <n v="10988"/>
  </r>
  <r>
    <x v="92"/>
    <x v="2"/>
    <x v="2"/>
    <x v="3"/>
    <n v="137"/>
  </r>
  <r>
    <x v="93"/>
    <x v="0"/>
    <x v="1"/>
    <x v="0"/>
    <n v="23936"/>
  </r>
  <r>
    <x v="93"/>
    <x v="0"/>
    <x v="1"/>
    <x v="2"/>
    <n v="5946"/>
  </r>
  <r>
    <x v="93"/>
    <x v="0"/>
    <x v="1"/>
    <x v="4"/>
    <n v="45000"/>
  </r>
  <r>
    <x v="93"/>
    <x v="0"/>
    <x v="2"/>
    <x v="0"/>
    <n v="53118"/>
  </r>
  <r>
    <x v="93"/>
    <x v="0"/>
    <x v="2"/>
    <x v="1"/>
    <n v="61423"/>
  </r>
  <r>
    <x v="93"/>
    <x v="0"/>
    <x v="2"/>
    <x v="2"/>
    <n v="58551"/>
  </r>
  <r>
    <x v="93"/>
    <x v="0"/>
    <x v="2"/>
    <x v="3"/>
    <n v="2200"/>
  </r>
  <r>
    <x v="93"/>
    <x v="0"/>
    <x v="2"/>
    <x v="4"/>
    <n v="1350"/>
  </r>
  <r>
    <x v="93"/>
    <x v="0"/>
    <x v="4"/>
    <x v="0"/>
    <n v="2300"/>
  </r>
  <r>
    <x v="93"/>
    <x v="0"/>
    <x v="4"/>
    <x v="2"/>
    <n v="573"/>
  </r>
  <r>
    <x v="93"/>
    <x v="2"/>
    <x v="2"/>
    <x v="1"/>
    <n v="15056"/>
  </r>
  <r>
    <x v="93"/>
    <x v="2"/>
    <x v="2"/>
    <x v="2"/>
    <n v="8987"/>
  </r>
  <r>
    <x v="93"/>
    <x v="2"/>
    <x v="2"/>
    <x v="3"/>
    <n v="2434"/>
  </r>
  <r>
    <x v="94"/>
    <x v="0"/>
    <x v="0"/>
    <x v="0"/>
    <n v="76532"/>
  </r>
  <r>
    <x v="94"/>
    <x v="0"/>
    <x v="0"/>
    <x v="1"/>
    <n v="39328"/>
  </r>
  <r>
    <x v="94"/>
    <x v="0"/>
    <x v="0"/>
    <x v="2"/>
    <n v="47205"/>
  </r>
  <r>
    <x v="94"/>
    <x v="0"/>
    <x v="0"/>
    <x v="3"/>
    <n v="2400"/>
  </r>
  <r>
    <x v="94"/>
    <x v="0"/>
    <x v="0"/>
    <x v="6"/>
    <n v="275"/>
  </r>
  <r>
    <x v="94"/>
    <x v="0"/>
    <x v="9"/>
    <x v="6"/>
    <n v="450"/>
  </r>
  <r>
    <x v="94"/>
    <x v="0"/>
    <x v="1"/>
    <x v="0"/>
    <n v="250842"/>
  </r>
  <r>
    <x v="94"/>
    <x v="0"/>
    <x v="1"/>
    <x v="2"/>
    <n v="96522"/>
  </r>
  <r>
    <x v="94"/>
    <x v="0"/>
    <x v="1"/>
    <x v="3"/>
    <n v="3250"/>
  </r>
  <r>
    <x v="94"/>
    <x v="0"/>
    <x v="1"/>
    <x v="4"/>
    <n v="36250"/>
  </r>
  <r>
    <x v="94"/>
    <x v="0"/>
    <x v="1"/>
    <x v="6"/>
    <n v="150"/>
  </r>
  <r>
    <x v="94"/>
    <x v="0"/>
    <x v="2"/>
    <x v="5"/>
    <n v="570"/>
  </r>
  <r>
    <x v="94"/>
    <x v="0"/>
    <x v="2"/>
    <x v="0"/>
    <n v="529962"/>
  </r>
  <r>
    <x v="94"/>
    <x v="0"/>
    <x v="2"/>
    <x v="1"/>
    <n v="96149"/>
  </r>
  <r>
    <x v="94"/>
    <x v="0"/>
    <x v="2"/>
    <x v="2"/>
    <n v="258278"/>
  </r>
  <r>
    <x v="94"/>
    <x v="0"/>
    <x v="2"/>
    <x v="3"/>
    <n v="18400"/>
  </r>
  <r>
    <x v="94"/>
    <x v="0"/>
    <x v="2"/>
    <x v="4"/>
    <n v="81100"/>
  </r>
  <r>
    <x v="94"/>
    <x v="0"/>
    <x v="2"/>
    <x v="6"/>
    <n v="525"/>
  </r>
  <r>
    <x v="94"/>
    <x v="0"/>
    <x v="3"/>
    <x v="2"/>
    <n v="5905"/>
  </r>
  <r>
    <x v="94"/>
    <x v="0"/>
    <x v="3"/>
    <x v="3"/>
    <n v="30"/>
  </r>
  <r>
    <x v="94"/>
    <x v="0"/>
    <x v="3"/>
    <x v="4"/>
    <n v="5800"/>
  </r>
  <r>
    <x v="94"/>
    <x v="0"/>
    <x v="3"/>
    <x v="6"/>
    <n v="3850"/>
  </r>
  <r>
    <x v="94"/>
    <x v="0"/>
    <x v="8"/>
    <x v="3"/>
    <n v="4050"/>
  </r>
  <r>
    <x v="94"/>
    <x v="2"/>
    <x v="2"/>
    <x v="0"/>
    <n v="17226"/>
  </r>
  <r>
    <x v="94"/>
    <x v="2"/>
    <x v="2"/>
    <x v="1"/>
    <n v="121127"/>
  </r>
  <r>
    <x v="94"/>
    <x v="2"/>
    <x v="2"/>
    <x v="2"/>
    <n v="93565"/>
  </r>
  <r>
    <x v="94"/>
    <x v="2"/>
    <x v="2"/>
    <x v="4"/>
    <n v="15000"/>
  </r>
  <r>
    <x v="95"/>
    <x v="0"/>
    <x v="0"/>
    <x v="0"/>
    <n v="388066"/>
  </r>
  <r>
    <x v="95"/>
    <x v="0"/>
    <x v="0"/>
    <x v="1"/>
    <n v="219665"/>
  </r>
  <r>
    <x v="95"/>
    <x v="0"/>
    <x v="0"/>
    <x v="2"/>
    <n v="196492"/>
  </r>
  <r>
    <x v="95"/>
    <x v="0"/>
    <x v="0"/>
    <x v="6"/>
    <n v="1700"/>
  </r>
  <r>
    <x v="95"/>
    <x v="0"/>
    <x v="9"/>
    <x v="0"/>
    <n v="216184"/>
  </r>
  <r>
    <x v="95"/>
    <x v="0"/>
    <x v="9"/>
    <x v="1"/>
    <n v="1146094"/>
  </r>
  <r>
    <x v="95"/>
    <x v="0"/>
    <x v="9"/>
    <x v="2"/>
    <n v="74276"/>
  </r>
  <r>
    <x v="95"/>
    <x v="0"/>
    <x v="9"/>
    <x v="6"/>
    <n v="800"/>
  </r>
  <r>
    <x v="95"/>
    <x v="0"/>
    <x v="1"/>
    <x v="0"/>
    <n v="8906229"/>
  </r>
  <r>
    <x v="95"/>
    <x v="0"/>
    <x v="1"/>
    <x v="2"/>
    <n v="3679426"/>
  </r>
  <r>
    <x v="95"/>
    <x v="0"/>
    <x v="1"/>
    <x v="3"/>
    <n v="117500"/>
  </r>
  <r>
    <x v="95"/>
    <x v="0"/>
    <x v="1"/>
    <x v="6"/>
    <n v="19250"/>
  </r>
  <r>
    <x v="95"/>
    <x v="0"/>
    <x v="2"/>
    <x v="0"/>
    <n v="13109574"/>
  </r>
  <r>
    <x v="95"/>
    <x v="0"/>
    <x v="2"/>
    <x v="1"/>
    <n v="9619314"/>
  </r>
  <r>
    <x v="95"/>
    <x v="0"/>
    <x v="2"/>
    <x v="2"/>
    <n v="10225428"/>
  </r>
  <r>
    <x v="95"/>
    <x v="0"/>
    <x v="2"/>
    <x v="3"/>
    <n v="43000"/>
  </r>
  <r>
    <x v="95"/>
    <x v="0"/>
    <x v="2"/>
    <x v="4"/>
    <n v="200100"/>
  </r>
  <r>
    <x v="95"/>
    <x v="0"/>
    <x v="2"/>
    <x v="6"/>
    <n v="19250"/>
  </r>
  <r>
    <x v="95"/>
    <x v="0"/>
    <x v="8"/>
    <x v="3"/>
    <n v="60500"/>
  </r>
  <r>
    <x v="95"/>
    <x v="0"/>
    <x v="4"/>
    <x v="0"/>
    <n v="327709"/>
  </r>
  <r>
    <x v="95"/>
    <x v="0"/>
    <x v="4"/>
    <x v="2"/>
    <n v="127982"/>
  </r>
  <r>
    <x v="95"/>
    <x v="1"/>
    <x v="2"/>
    <x v="1"/>
    <n v="89599"/>
  </r>
  <r>
    <x v="95"/>
    <x v="2"/>
    <x v="0"/>
    <x v="1"/>
    <n v="107461"/>
  </r>
  <r>
    <x v="95"/>
    <x v="2"/>
    <x v="0"/>
    <x v="2"/>
    <n v="47273"/>
  </r>
  <r>
    <x v="95"/>
    <x v="2"/>
    <x v="2"/>
    <x v="0"/>
    <n v="1682675"/>
  </r>
  <r>
    <x v="95"/>
    <x v="2"/>
    <x v="2"/>
    <x v="1"/>
    <n v="708028"/>
  </r>
  <r>
    <x v="95"/>
    <x v="2"/>
    <x v="2"/>
    <x v="2"/>
    <n v="1085820"/>
  </r>
  <r>
    <x v="95"/>
    <x v="2"/>
    <x v="6"/>
    <x v="3"/>
    <n v="38000"/>
  </r>
  <r>
    <x v="96"/>
    <x v="0"/>
    <x v="0"/>
    <x v="0"/>
    <n v="142601"/>
  </r>
  <r>
    <x v="96"/>
    <x v="0"/>
    <x v="0"/>
    <x v="1"/>
    <n v="57283"/>
  </r>
  <r>
    <x v="96"/>
    <x v="0"/>
    <x v="0"/>
    <x v="2"/>
    <n v="69997"/>
  </r>
  <r>
    <x v="96"/>
    <x v="0"/>
    <x v="0"/>
    <x v="3"/>
    <n v="900"/>
  </r>
  <r>
    <x v="96"/>
    <x v="0"/>
    <x v="0"/>
    <x v="4"/>
    <n v="3500"/>
  </r>
  <r>
    <x v="96"/>
    <x v="0"/>
    <x v="0"/>
    <x v="6"/>
    <n v="500"/>
  </r>
  <r>
    <x v="96"/>
    <x v="0"/>
    <x v="9"/>
    <x v="0"/>
    <n v="46454"/>
  </r>
  <r>
    <x v="96"/>
    <x v="0"/>
    <x v="9"/>
    <x v="2"/>
    <n v="18321"/>
  </r>
  <r>
    <x v="96"/>
    <x v="0"/>
    <x v="1"/>
    <x v="0"/>
    <n v="415546"/>
  </r>
  <r>
    <x v="96"/>
    <x v="0"/>
    <x v="1"/>
    <x v="2"/>
    <n v="159119"/>
  </r>
  <r>
    <x v="96"/>
    <x v="0"/>
    <x v="1"/>
    <x v="3"/>
    <n v="450"/>
  </r>
  <r>
    <x v="96"/>
    <x v="0"/>
    <x v="1"/>
    <x v="4"/>
    <n v="126051"/>
  </r>
  <r>
    <x v="96"/>
    <x v="0"/>
    <x v="2"/>
    <x v="0"/>
    <n v="681554"/>
  </r>
  <r>
    <x v="96"/>
    <x v="0"/>
    <x v="2"/>
    <x v="1"/>
    <n v="775074"/>
  </r>
  <r>
    <x v="96"/>
    <x v="0"/>
    <x v="2"/>
    <x v="2"/>
    <n v="791826"/>
  </r>
  <r>
    <x v="96"/>
    <x v="0"/>
    <x v="2"/>
    <x v="3"/>
    <n v="29150"/>
  </r>
  <r>
    <x v="96"/>
    <x v="0"/>
    <x v="2"/>
    <x v="4"/>
    <n v="65500"/>
  </r>
  <r>
    <x v="96"/>
    <x v="0"/>
    <x v="3"/>
    <x v="4"/>
    <n v="15600"/>
  </r>
  <r>
    <x v="96"/>
    <x v="0"/>
    <x v="3"/>
    <x v="6"/>
    <n v="500"/>
  </r>
  <r>
    <x v="96"/>
    <x v="0"/>
    <x v="8"/>
    <x v="3"/>
    <n v="6000"/>
  </r>
  <r>
    <x v="96"/>
    <x v="2"/>
    <x v="2"/>
    <x v="0"/>
    <n v="77434"/>
  </r>
  <r>
    <x v="96"/>
    <x v="2"/>
    <x v="2"/>
    <x v="1"/>
    <n v="113531"/>
  </r>
  <r>
    <x v="96"/>
    <x v="2"/>
    <x v="2"/>
    <x v="2"/>
    <n v="100640"/>
  </r>
  <r>
    <x v="97"/>
    <x v="0"/>
    <x v="0"/>
    <x v="4"/>
    <n v="46500"/>
  </r>
  <r>
    <x v="97"/>
    <x v="0"/>
    <x v="1"/>
    <x v="0"/>
    <n v="38781"/>
  </r>
  <r>
    <x v="97"/>
    <x v="0"/>
    <x v="1"/>
    <x v="2"/>
    <n v="13861"/>
  </r>
  <r>
    <x v="97"/>
    <x v="0"/>
    <x v="1"/>
    <x v="3"/>
    <n v="1300"/>
  </r>
  <r>
    <x v="97"/>
    <x v="0"/>
    <x v="1"/>
    <x v="4"/>
    <n v="85000"/>
  </r>
  <r>
    <x v="97"/>
    <x v="0"/>
    <x v="2"/>
    <x v="0"/>
    <n v="220125"/>
  </r>
  <r>
    <x v="97"/>
    <x v="0"/>
    <x v="2"/>
    <x v="1"/>
    <n v="117113"/>
  </r>
  <r>
    <x v="97"/>
    <x v="0"/>
    <x v="2"/>
    <x v="2"/>
    <n v="167240"/>
  </r>
  <r>
    <x v="97"/>
    <x v="0"/>
    <x v="2"/>
    <x v="3"/>
    <n v="3900"/>
  </r>
  <r>
    <x v="97"/>
    <x v="2"/>
    <x v="1"/>
    <x v="0"/>
    <n v="54392"/>
  </r>
  <r>
    <x v="97"/>
    <x v="2"/>
    <x v="1"/>
    <x v="2"/>
    <n v="19917"/>
  </r>
  <r>
    <x v="97"/>
    <x v="2"/>
    <x v="2"/>
    <x v="1"/>
    <n v="30901"/>
  </r>
  <r>
    <x v="97"/>
    <x v="2"/>
    <x v="2"/>
    <x v="2"/>
    <n v="19909"/>
  </r>
  <r>
    <x v="98"/>
    <x v="0"/>
    <x v="0"/>
    <x v="0"/>
    <n v="133756"/>
  </r>
  <r>
    <x v="98"/>
    <x v="0"/>
    <x v="0"/>
    <x v="1"/>
    <n v="54563"/>
  </r>
  <r>
    <x v="98"/>
    <x v="0"/>
    <x v="0"/>
    <x v="2"/>
    <n v="63373"/>
  </r>
  <r>
    <x v="98"/>
    <x v="0"/>
    <x v="0"/>
    <x v="3"/>
    <n v="1350"/>
  </r>
  <r>
    <x v="98"/>
    <x v="0"/>
    <x v="0"/>
    <x v="4"/>
    <n v="9500"/>
  </r>
  <r>
    <x v="98"/>
    <x v="0"/>
    <x v="0"/>
    <x v="6"/>
    <n v="500"/>
  </r>
  <r>
    <x v="98"/>
    <x v="0"/>
    <x v="1"/>
    <x v="0"/>
    <n v="230772"/>
  </r>
  <r>
    <x v="98"/>
    <x v="0"/>
    <x v="1"/>
    <x v="1"/>
    <n v="30084"/>
  </r>
  <r>
    <x v="98"/>
    <x v="0"/>
    <x v="1"/>
    <x v="2"/>
    <n v="90999"/>
  </r>
  <r>
    <x v="98"/>
    <x v="0"/>
    <x v="1"/>
    <x v="3"/>
    <n v="114860"/>
  </r>
  <r>
    <x v="98"/>
    <x v="0"/>
    <x v="1"/>
    <x v="4"/>
    <n v="318000"/>
  </r>
  <r>
    <x v="98"/>
    <x v="0"/>
    <x v="2"/>
    <x v="5"/>
    <n v="500"/>
  </r>
  <r>
    <x v="98"/>
    <x v="0"/>
    <x v="2"/>
    <x v="0"/>
    <n v="725792"/>
  </r>
  <r>
    <x v="98"/>
    <x v="0"/>
    <x v="2"/>
    <x v="1"/>
    <n v="459802"/>
  </r>
  <r>
    <x v="98"/>
    <x v="0"/>
    <x v="2"/>
    <x v="2"/>
    <n v="550437"/>
  </r>
  <r>
    <x v="98"/>
    <x v="0"/>
    <x v="2"/>
    <x v="3"/>
    <n v="19240"/>
  </r>
  <r>
    <x v="98"/>
    <x v="0"/>
    <x v="2"/>
    <x v="4"/>
    <n v="10605"/>
  </r>
  <r>
    <x v="98"/>
    <x v="0"/>
    <x v="3"/>
    <x v="0"/>
    <n v="4448"/>
  </r>
  <r>
    <x v="98"/>
    <x v="0"/>
    <x v="3"/>
    <x v="2"/>
    <n v="1103"/>
  </r>
  <r>
    <x v="98"/>
    <x v="0"/>
    <x v="3"/>
    <x v="4"/>
    <n v="8000"/>
  </r>
  <r>
    <x v="98"/>
    <x v="0"/>
    <x v="6"/>
    <x v="3"/>
    <n v="9000"/>
  </r>
  <r>
    <x v="98"/>
    <x v="0"/>
    <x v="6"/>
    <x v="4"/>
    <n v="1000"/>
  </r>
  <r>
    <x v="98"/>
    <x v="0"/>
    <x v="8"/>
    <x v="3"/>
    <n v="5000"/>
  </r>
  <r>
    <x v="98"/>
    <x v="0"/>
    <x v="4"/>
    <x v="0"/>
    <n v="21911"/>
  </r>
  <r>
    <x v="98"/>
    <x v="0"/>
    <x v="4"/>
    <x v="2"/>
    <n v="5095"/>
  </r>
  <r>
    <x v="98"/>
    <x v="2"/>
    <x v="0"/>
    <x v="3"/>
    <n v="16756"/>
  </r>
  <r>
    <x v="98"/>
    <x v="2"/>
    <x v="2"/>
    <x v="0"/>
    <n v="281816"/>
  </r>
  <r>
    <x v="98"/>
    <x v="2"/>
    <x v="2"/>
    <x v="1"/>
    <n v="14957"/>
  </r>
  <r>
    <x v="98"/>
    <x v="2"/>
    <x v="2"/>
    <x v="2"/>
    <n v="112085"/>
  </r>
  <r>
    <x v="99"/>
    <x v="0"/>
    <x v="10"/>
    <x v="0"/>
    <n v="33219"/>
  </r>
  <r>
    <x v="99"/>
    <x v="0"/>
    <x v="1"/>
    <x v="0"/>
    <n v="17230"/>
  </r>
  <r>
    <x v="99"/>
    <x v="0"/>
    <x v="2"/>
    <x v="0"/>
    <n v="76246"/>
  </r>
  <r>
    <x v="99"/>
    <x v="0"/>
    <x v="2"/>
    <x v="1"/>
    <n v="6146"/>
  </r>
  <r>
    <x v="99"/>
    <x v="2"/>
    <x v="1"/>
    <x v="4"/>
    <n v="14437"/>
  </r>
  <r>
    <x v="100"/>
    <x v="0"/>
    <x v="10"/>
    <x v="0"/>
    <n v="111038"/>
  </r>
  <r>
    <x v="100"/>
    <x v="0"/>
    <x v="10"/>
    <x v="1"/>
    <n v="16365"/>
  </r>
  <r>
    <x v="100"/>
    <x v="0"/>
    <x v="1"/>
    <x v="0"/>
    <n v="34459"/>
  </r>
  <r>
    <x v="100"/>
    <x v="0"/>
    <x v="1"/>
    <x v="2"/>
    <n v="15802"/>
  </r>
  <r>
    <x v="100"/>
    <x v="0"/>
    <x v="1"/>
    <x v="4"/>
    <n v="122379"/>
  </r>
  <r>
    <x v="100"/>
    <x v="0"/>
    <x v="2"/>
    <x v="0"/>
    <n v="388949"/>
  </r>
  <r>
    <x v="100"/>
    <x v="0"/>
    <x v="2"/>
    <x v="1"/>
    <n v="40189"/>
  </r>
  <r>
    <x v="100"/>
    <x v="0"/>
    <x v="2"/>
    <x v="3"/>
    <n v="10000"/>
  </r>
  <r>
    <x v="100"/>
    <x v="0"/>
    <x v="6"/>
    <x v="3"/>
    <n v="2596"/>
  </r>
  <r>
    <x v="100"/>
    <x v="2"/>
    <x v="1"/>
    <x v="4"/>
    <n v="81211"/>
  </r>
  <r>
    <x v="100"/>
    <x v="2"/>
    <x v="2"/>
    <x v="3"/>
    <n v="1529"/>
  </r>
  <r>
    <x v="101"/>
    <x v="0"/>
    <x v="10"/>
    <x v="0"/>
    <n v="79997"/>
  </r>
  <r>
    <x v="101"/>
    <x v="0"/>
    <x v="10"/>
    <x v="1"/>
    <n v="16661"/>
  </r>
  <r>
    <x v="101"/>
    <x v="0"/>
    <x v="10"/>
    <x v="4"/>
    <n v="16236"/>
  </r>
  <r>
    <x v="101"/>
    <x v="0"/>
    <x v="1"/>
    <x v="0"/>
    <n v="17230"/>
  </r>
  <r>
    <x v="101"/>
    <x v="0"/>
    <x v="1"/>
    <x v="4"/>
    <n v="63853"/>
  </r>
  <r>
    <x v="101"/>
    <x v="0"/>
    <x v="2"/>
    <x v="0"/>
    <n v="68919"/>
  </r>
  <r>
    <x v="101"/>
    <x v="0"/>
    <x v="2"/>
    <x v="1"/>
    <n v="43065"/>
  </r>
  <r>
    <x v="101"/>
    <x v="0"/>
    <x v="2"/>
    <x v="2"/>
    <n v="60044"/>
  </r>
  <r>
    <x v="101"/>
    <x v="0"/>
    <x v="2"/>
    <x v="3"/>
    <n v="41193"/>
  </r>
  <r>
    <x v="101"/>
    <x v="0"/>
    <x v="2"/>
    <x v="4"/>
    <n v="1948"/>
  </r>
  <r>
    <x v="101"/>
    <x v="0"/>
    <x v="3"/>
    <x v="3"/>
    <n v="5256"/>
  </r>
  <r>
    <x v="101"/>
    <x v="0"/>
    <x v="6"/>
    <x v="3"/>
    <n v="31745"/>
  </r>
  <r>
    <x v="101"/>
    <x v="0"/>
    <x v="8"/>
    <x v="3"/>
    <n v="14932"/>
  </r>
  <r>
    <x v="101"/>
    <x v="2"/>
    <x v="1"/>
    <x v="4"/>
    <n v="47844"/>
  </r>
  <r>
    <x v="102"/>
    <x v="0"/>
    <x v="1"/>
    <x v="4"/>
    <n v="51521"/>
  </r>
  <r>
    <x v="102"/>
    <x v="0"/>
    <x v="2"/>
    <x v="0"/>
    <n v="128391"/>
  </r>
  <r>
    <x v="102"/>
    <x v="0"/>
    <x v="2"/>
    <x v="1"/>
    <n v="113898"/>
  </r>
  <r>
    <x v="102"/>
    <x v="0"/>
    <x v="2"/>
    <x v="2"/>
    <n v="117205"/>
  </r>
  <r>
    <x v="102"/>
    <x v="0"/>
    <x v="2"/>
    <x v="4"/>
    <n v="7198"/>
  </r>
  <r>
    <x v="102"/>
    <x v="2"/>
    <x v="1"/>
    <x v="4"/>
    <n v="60704"/>
  </r>
  <r>
    <x v="102"/>
    <x v="3"/>
    <x v="2"/>
    <x v="1"/>
    <n v="41371"/>
  </r>
  <r>
    <x v="102"/>
    <x v="3"/>
    <x v="2"/>
    <x v="2"/>
    <n v="20941"/>
  </r>
  <r>
    <x v="103"/>
    <x v="0"/>
    <x v="1"/>
    <x v="3"/>
    <n v="150"/>
  </r>
  <r>
    <x v="103"/>
    <x v="0"/>
    <x v="1"/>
    <x v="4"/>
    <n v="7700"/>
  </r>
  <r>
    <x v="103"/>
    <x v="0"/>
    <x v="1"/>
    <x v="6"/>
    <n v="500"/>
  </r>
  <r>
    <x v="103"/>
    <x v="0"/>
    <x v="2"/>
    <x v="0"/>
    <n v="29833"/>
  </r>
  <r>
    <x v="103"/>
    <x v="0"/>
    <x v="2"/>
    <x v="2"/>
    <n v="2364"/>
  </r>
  <r>
    <x v="103"/>
    <x v="0"/>
    <x v="2"/>
    <x v="3"/>
    <n v="1000"/>
  </r>
  <r>
    <x v="103"/>
    <x v="0"/>
    <x v="2"/>
    <x v="4"/>
    <n v="700"/>
  </r>
  <r>
    <x v="103"/>
    <x v="0"/>
    <x v="2"/>
    <x v="6"/>
    <n v="100"/>
  </r>
  <r>
    <x v="103"/>
    <x v="0"/>
    <x v="3"/>
    <x v="6"/>
    <n v="100"/>
  </r>
  <r>
    <x v="103"/>
    <x v="0"/>
    <x v="8"/>
    <x v="3"/>
    <n v="100"/>
  </r>
  <r>
    <x v="103"/>
    <x v="0"/>
    <x v="4"/>
    <x v="0"/>
    <n v="491"/>
  </r>
  <r>
    <x v="103"/>
    <x v="0"/>
    <x v="4"/>
    <x v="2"/>
    <n v="39"/>
  </r>
  <r>
    <x v="103"/>
    <x v="2"/>
    <x v="2"/>
    <x v="4"/>
    <n v="8596"/>
  </r>
  <r>
    <x v="104"/>
    <x v="0"/>
    <x v="0"/>
    <x v="0"/>
    <n v="1121187"/>
  </r>
  <r>
    <x v="104"/>
    <x v="0"/>
    <x v="0"/>
    <x v="1"/>
    <n v="219645"/>
  </r>
  <r>
    <x v="104"/>
    <x v="0"/>
    <x v="0"/>
    <x v="2"/>
    <n v="406127"/>
  </r>
  <r>
    <x v="104"/>
    <x v="0"/>
    <x v="0"/>
    <x v="3"/>
    <n v="21502"/>
  </r>
  <r>
    <x v="104"/>
    <x v="0"/>
    <x v="0"/>
    <x v="4"/>
    <n v="153004"/>
  </r>
  <r>
    <x v="104"/>
    <x v="0"/>
    <x v="0"/>
    <x v="6"/>
    <n v="20000"/>
  </r>
  <r>
    <x v="104"/>
    <x v="0"/>
    <x v="0"/>
    <x v="7"/>
    <n v="8500"/>
  </r>
  <r>
    <x v="104"/>
    <x v="0"/>
    <x v="10"/>
    <x v="0"/>
    <n v="169364"/>
  </r>
  <r>
    <x v="104"/>
    <x v="0"/>
    <x v="10"/>
    <x v="2"/>
    <n v="51553"/>
  </r>
  <r>
    <x v="104"/>
    <x v="0"/>
    <x v="1"/>
    <x v="0"/>
    <n v="2850182"/>
  </r>
  <r>
    <x v="104"/>
    <x v="0"/>
    <x v="1"/>
    <x v="1"/>
    <n v="930718"/>
  </r>
  <r>
    <x v="104"/>
    <x v="0"/>
    <x v="1"/>
    <x v="2"/>
    <n v="1433883"/>
  </r>
  <r>
    <x v="104"/>
    <x v="0"/>
    <x v="1"/>
    <x v="3"/>
    <n v="98500"/>
  </r>
  <r>
    <x v="104"/>
    <x v="0"/>
    <x v="1"/>
    <x v="4"/>
    <n v="775202"/>
  </r>
  <r>
    <x v="104"/>
    <x v="0"/>
    <x v="1"/>
    <x v="6"/>
    <n v="10000"/>
  </r>
  <r>
    <x v="104"/>
    <x v="0"/>
    <x v="1"/>
    <x v="7"/>
    <n v="43000"/>
  </r>
  <r>
    <x v="104"/>
    <x v="0"/>
    <x v="2"/>
    <x v="0"/>
    <n v="9512035"/>
  </r>
  <r>
    <x v="104"/>
    <x v="0"/>
    <x v="2"/>
    <x v="1"/>
    <n v="6424214"/>
  </r>
  <r>
    <x v="104"/>
    <x v="0"/>
    <x v="2"/>
    <x v="2"/>
    <n v="7306895"/>
  </r>
  <r>
    <x v="104"/>
    <x v="0"/>
    <x v="2"/>
    <x v="3"/>
    <n v="32104"/>
  </r>
  <r>
    <x v="104"/>
    <x v="0"/>
    <x v="2"/>
    <x v="4"/>
    <n v="1454360"/>
  </r>
  <r>
    <x v="104"/>
    <x v="0"/>
    <x v="2"/>
    <x v="6"/>
    <n v="10000"/>
  </r>
  <r>
    <x v="104"/>
    <x v="0"/>
    <x v="2"/>
    <x v="7"/>
    <n v="12498"/>
  </r>
  <r>
    <x v="104"/>
    <x v="0"/>
    <x v="5"/>
    <x v="4"/>
    <n v="2"/>
  </r>
  <r>
    <x v="104"/>
    <x v="0"/>
    <x v="8"/>
    <x v="3"/>
    <n v="216000"/>
  </r>
  <r>
    <x v="104"/>
    <x v="2"/>
    <x v="0"/>
    <x v="0"/>
    <n v="175048"/>
  </r>
  <r>
    <x v="104"/>
    <x v="2"/>
    <x v="0"/>
    <x v="2"/>
    <n v="52138"/>
  </r>
  <r>
    <x v="104"/>
    <x v="2"/>
    <x v="1"/>
    <x v="0"/>
    <n v="3468015"/>
  </r>
  <r>
    <x v="104"/>
    <x v="2"/>
    <x v="1"/>
    <x v="2"/>
    <n v="1232340"/>
  </r>
  <r>
    <x v="104"/>
    <x v="2"/>
    <x v="2"/>
    <x v="0"/>
    <n v="1799368"/>
  </r>
  <r>
    <x v="104"/>
    <x v="2"/>
    <x v="2"/>
    <x v="1"/>
    <n v="4"/>
  </r>
  <r>
    <x v="104"/>
    <x v="2"/>
    <x v="2"/>
    <x v="2"/>
    <n v="639589"/>
  </r>
  <r>
    <x v="104"/>
    <x v="2"/>
    <x v="2"/>
    <x v="4"/>
    <n v="4500006"/>
  </r>
  <r>
    <x v="104"/>
    <x v="2"/>
    <x v="5"/>
    <x v="4"/>
    <n v="2"/>
  </r>
  <r>
    <x v="104"/>
    <x v="2"/>
    <x v="3"/>
    <x v="3"/>
    <n v="2"/>
  </r>
  <r>
    <x v="105"/>
    <x v="0"/>
    <x v="2"/>
    <x v="0"/>
    <n v="6077"/>
  </r>
  <r>
    <x v="105"/>
    <x v="0"/>
    <x v="2"/>
    <x v="3"/>
    <n v="300"/>
  </r>
  <r>
    <x v="105"/>
    <x v="0"/>
    <x v="2"/>
    <x v="4"/>
    <n v="250"/>
  </r>
  <r>
    <x v="105"/>
    <x v="0"/>
    <x v="2"/>
    <x v="6"/>
    <n v="500"/>
  </r>
  <r>
    <x v="105"/>
    <x v="0"/>
    <x v="5"/>
    <x v="4"/>
    <n v="69796"/>
  </r>
  <r>
    <x v="106"/>
    <x v="0"/>
    <x v="5"/>
    <x v="4"/>
    <n v="1927147"/>
  </r>
  <r>
    <x v="107"/>
    <x v="0"/>
    <x v="1"/>
    <x v="4"/>
    <n v="23520"/>
  </r>
  <r>
    <x v="107"/>
    <x v="0"/>
    <x v="2"/>
    <x v="0"/>
    <n v="7489"/>
  </r>
  <r>
    <x v="107"/>
    <x v="0"/>
    <x v="2"/>
    <x v="2"/>
    <n v="1668"/>
  </r>
  <r>
    <x v="107"/>
    <x v="2"/>
    <x v="2"/>
    <x v="4"/>
    <n v="12000"/>
  </r>
  <r>
    <x v="107"/>
    <x v="3"/>
    <x v="5"/>
    <x v="4"/>
    <n v="5000"/>
  </r>
  <r>
    <x v="108"/>
    <x v="0"/>
    <x v="0"/>
    <x v="5"/>
    <n v="1900"/>
  </r>
  <r>
    <x v="108"/>
    <x v="0"/>
    <x v="0"/>
    <x v="0"/>
    <n v="386050"/>
  </r>
  <r>
    <x v="108"/>
    <x v="0"/>
    <x v="0"/>
    <x v="1"/>
    <n v="102512"/>
  </r>
  <r>
    <x v="108"/>
    <x v="0"/>
    <x v="0"/>
    <x v="2"/>
    <n v="170825"/>
  </r>
  <r>
    <x v="108"/>
    <x v="0"/>
    <x v="0"/>
    <x v="3"/>
    <n v="3600"/>
  </r>
  <r>
    <x v="108"/>
    <x v="0"/>
    <x v="0"/>
    <x v="4"/>
    <n v="15350"/>
  </r>
  <r>
    <x v="108"/>
    <x v="0"/>
    <x v="0"/>
    <x v="6"/>
    <n v="3000"/>
  </r>
  <r>
    <x v="108"/>
    <x v="0"/>
    <x v="7"/>
    <x v="1"/>
    <n v="20643"/>
  </r>
  <r>
    <x v="108"/>
    <x v="0"/>
    <x v="7"/>
    <x v="2"/>
    <n v="15226"/>
  </r>
  <r>
    <x v="108"/>
    <x v="0"/>
    <x v="1"/>
    <x v="0"/>
    <n v="963306"/>
  </r>
  <r>
    <x v="108"/>
    <x v="0"/>
    <x v="1"/>
    <x v="1"/>
    <n v="115290"/>
  </r>
  <r>
    <x v="108"/>
    <x v="0"/>
    <x v="1"/>
    <x v="2"/>
    <n v="448060"/>
  </r>
  <r>
    <x v="108"/>
    <x v="0"/>
    <x v="1"/>
    <x v="3"/>
    <n v="25000"/>
  </r>
  <r>
    <x v="108"/>
    <x v="0"/>
    <x v="1"/>
    <x v="4"/>
    <n v="1025000"/>
  </r>
  <r>
    <x v="108"/>
    <x v="0"/>
    <x v="1"/>
    <x v="6"/>
    <n v="4000"/>
  </r>
  <r>
    <x v="108"/>
    <x v="0"/>
    <x v="2"/>
    <x v="5"/>
    <n v="1000"/>
  </r>
  <r>
    <x v="108"/>
    <x v="0"/>
    <x v="2"/>
    <x v="0"/>
    <n v="1807396"/>
  </r>
  <r>
    <x v="108"/>
    <x v="0"/>
    <x v="2"/>
    <x v="1"/>
    <n v="1668486"/>
  </r>
  <r>
    <x v="108"/>
    <x v="0"/>
    <x v="2"/>
    <x v="2"/>
    <n v="1826464"/>
  </r>
  <r>
    <x v="108"/>
    <x v="0"/>
    <x v="2"/>
    <x v="3"/>
    <n v="17400"/>
  </r>
  <r>
    <x v="108"/>
    <x v="0"/>
    <x v="2"/>
    <x v="4"/>
    <n v="969000"/>
  </r>
  <r>
    <x v="108"/>
    <x v="0"/>
    <x v="2"/>
    <x v="6"/>
    <n v="1500"/>
  </r>
  <r>
    <x v="108"/>
    <x v="0"/>
    <x v="3"/>
    <x v="0"/>
    <n v="5000"/>
  </r>
  <r>
    <x v="108"/>
    <x v="0"/>
    <x v="3"/>
    <x v="2"/>
    <n v="635"/>
  </r>
  <r>
    <x v="108"/>
    <x v="0"/>
    <x v="3"/>
    <x v="3"/>
    <n v="4500"/>
  </r>
  <r>
    <x v="108"/>
    <x v="0"/>
    <x v="3"/>
    <x v="4"/>
    <n v="4500"/>
  </r>
  <r>
    <x v="108"/>
    <x v="0"/>
    <x v="3"/>
    <x v="6"/>
    <n v="1000"/>
  </r>
  <r>
    <x v="108"/>
    <x v="0"/>
    <x v="6"/>
    <x v="3"/>
    <n v="8000"/>
  </r>
  <r>
    <x v="108"/>
    <x v="0"/>
    <x v="8"/>
    <x v="3"/>
    <n v="10000"/>
  </r>
  <r>
    <x v="108"/>
    <x v="0"/>
    <x v="8"/>
    <x v="4"/>
    <n v="5500"/>
  </r>
  <r>
    <x v="108"/>
    <x v="1"/>
    <x v="2"/>
    <x v="1"/>
    <n v="11177"/>
  </r>
  <r>
    <x v="108"/>
    <x v="1"/>
    <x v="2"/>
    <x v="2"/>
    <n v="10053"/>
  </r>
  <r>
    <x v="108"/>
    <x v="2"/>
    <x v="2"/>
    <x v="0"/>
    <n v="665150"/>
  </r>
  <r>
    <x v="108"/>
    <x v="2"/>
    <x v="2"/>
    <x v="1"/>
    <n v="65865"/>
  </r>
  <r>
    <x v="108"/>
    <x v="2"/>
    <x v="2"/>
    <x v="2"/>
    <n v="303181"/>
  </r>
  <r>
    <x v="108"/>
    <x v="2"/>
    <x v="3"/>
    <x v="0"/>
    <n v="1055"/>
  </r>
  <r>
    <x v="108"/>
    <x v="2"/>
    <x v="3"/>
    <x v="2"/>
    <n v="313"/>
  </r>
  <r>
    <x v="109"/>
    <x v="0"/>
    <x v="0"/>
    <x v="0"/>
    <n v="573033"/>
  </r>
  <r>
    <x v="109"/>
    <x v="0"/>
    <x v="0"/>
    <x v="1"/>
    <n v="217831"/>
  </r>
  <r>
    <x v="109"/>
    <x v="0"/>
    <x v="0"/>
    <x v="2"/>
    <n v="283210"/>
  </r>
  <r>
    <x v="109"/>
    <x v="0"/>
    <x v="0"/>
    <x v="3"/>
    <n v="9750"/>
  </r>
  <r>
    <x v="109"/>
    <x v="0"/>
    <x v="0"/>
    <x v="4"/>
    <n v="21750"/>
  </r>
  <r>
    <x v="109"/>
    <x v="0"/>
    <x v="0"/>
    <x v="6"/>
    <n v="5000"/>
  </r>
  <r>
    <x v="109"/>
    <x v="0"/>
    <x v="10"/>
    <x v="0"/>
    <n v="2650"/>
  </r>
  <r>
    <x v="109"/>
    <x v="0"/>
    <x v="10"/>
    <x v="2"/>
    <n v="585"/>
  </r>
  <r>
    <x v="109"/>
    <x v="0"/>
    <x v="1"/>
    <x v="0"/>
    <n v="3206643"/>
  </r>
  <r>
    <x v="109"/>
    <x v="0"/>
    <x v="1"/>
    <x v="1"/>
    <n v="339320"/>
  </r>
  <r>
    <x v="109"/>
    <x v="0"/>
    <x v="1"/>
    <x v="2"/>
    <n v="1210697"/>
  </r>
  <r>
    <x v="109"/>
    <x v="0"/>
    <x v="1"/>
    <x v="3"/>
    <n v="15050"/>
  </r>
  <r>
    <x v="109"/>
    <x v="0"/>
    <x v="1"/>
    <x v="4"/>
    <n v="55100"/>
  </r>
  <r>
    <x v="109"/>
    <x v="0"/>
    <x v="1"/>
    <x v="6"/>
    <n v="12500"/>
  </r>
  <r>
    <x v="109"/>
    <x v="0"/>
    <x v="2"/>
    <x v="0"/>
    <n v="8557663"/>
  </r>
  <r>
    <x v="109"/>
    <x v="0"/>
    <x v="2"/>
    <x v="1"/>
    <n v="5749157"/>
  </r>
  <r>
    <x v="109"/>
    <x v="0"/>
    <x v="2"/>
    <x v="2"/>
    <n v="6974291"/>
  </r>
  <r>
    <x v="109"/>
    <x v="0"/>
    <x v="2"/>
    <x v="3"/>
    <n v="92730"/>
  </r>
  <r>
    <x v="109"/>
    <x v="0"/>
    <x v="2"/>
    <x v="4"/>
    <n v="161000"/>
  </r>
  <r>
    <x v="109"/>
    <x v="0"/>
    <x v="2"/>
    <x v="6"/>
    <n v="10000"/>
  </r>
  <r>
    <x v="109"/>
    <x v="0"/>
    <x v="3"/>
    <x v="0"/>
    <n v="228358"/>
  </r>
  <r>
    <x v="109"/>
    <x v="0"/>
    <x v="3"/>
    <x v="2"/>
    <n v="50825"/>
  </r>
  <r>
    <x v="109"/>
    <x v="0"/>
    <x v="3"/>
    <x v="3"/>
    <n v="1000"/>
  </r>
  <r>
    <x v="109"/>
    <x v="0"/>
    <x v="3"/>
    <x v="4"/>
    <n v="6000"/>
  </r>
  <r>
    <x v="109"/>
    <x v="0"/>
    <x v="3"/>
    <x v="6"/>
    <n v="1750"/>
  </r>
  <r>
    <x v="109"/>
    <x v="0"/>
    <x v="4"/>
    <x v="0"/>
    <n v="171294"/>
  </r>
  <r>
    <x v="109"/>
    <x v="0"/>
    <x v="4"/>
    <x v="2"/>
    <n v="38141"/>
  </r>
  <r>
    <x v="109"/>
    <x v="1"/>
    <x v="7"/>
    <x v="1"/>
    <n v="160382"/>
  </r>
  <r>
    <x v="109"/>
    <x v="1"/>
    <x v="7"/>
    <x v="2"/>
    <n v="105999"/>
  </r>
  <r>
    <x v="109"/>
    <x v="1"/>
    <x v="1"/>
    <x v="0"/>
    <n v="75985"/>
  </r>
  <r>
    <x v="109"/>
    <x v="1"/>
    <x v="1"/>
    <x v="2"/>
    <n v="29564"/>
  </r>
  <r>
    <x v="109"/>
    <x v="1"/>
    <x v="2"/>
    <x v="1"/>
    <n v="200600"/>
  </r>
  <r>
    <x v="109"/>
    <x v="1"/>
    <x v="2"/>
    <x v="2"/>
    <n v="38716"/>
  </r>
  <r>
    <x v="109"/>
    <x v="1"/>
    <x v="3"/>
    <x v="0"/>
    <n v="2860"/>
  </r>
  <r>
    <x v="109"/>
    <x v="1"/>
    <x v="3"/>
    <x v="2"/>
    <n v="636"/>
  </r>
  <r>
    <x v="109"/>
    <x v="2"/>
    <x v="0"/>
    <x v="1"/>
    <n v="43208"/>
  </r>
  <r>
    <x v="109"/>
    <x v="2"/>
    <x v="0"/>
    <x v="2"/>
    <n v="21002"/>
  </r>
  <r>
    <x v="109"/>
    <x v="2"/>
    <x v="0"/>
    <x v="3"/>
    <n v="3000"/>
  </r>
  <r>
    <x v="109"/>
    <x v="2"/>
    <x v="0"/>
    <x v="4"/>
    <n v="3000"/>
  </r>
  <r>
    <x v="109"/>
    <x v="2"/>
    <x v="1"/>
    <x v="0"/>
    <n v="88058"/>
  </r>
  <r>
    <x v="109"/>
    <x v="2"/>
    <x v="1"/>
    <x v="1"/>
    <n v="249835"/>
  </r>
  <r>
    <x v="109"/>
    <x v="2"/>
    <x v="1"/>
    <x v="2"/>
    <n v="160935"/>
  </r>
  <r>
    <x v="109"/>
    <x v="2"/>
    <x v="1"/>
    <x v="3"/>
    <n v="40000"/>
  </r>
  <r>
    <x v="109"/>
    <x v="2"/>
    <x v="1"/>
    <x v="4"/>
    <n v="40200"/>
  </r>
  <r>
    <x v="109"/>
    <x v="2"/>
    <x v="2"/>
    <x v="5"/>
    <n v="2500"/>
  </r>
  <r>
    <x v="109"/>
    <x v="2"/>
    <x v="2"/>
    <x v="0"/>
    <n v="990877"/>
  </r>
  <r>
    <x v="109"/>
    <x v="2"/>
    <x v="2"/>
    <x v="1"/>
    <n v="501511"/>
  </r>
  <r>
    <x v="109"/>
    <x v="2"/>
    <x v="2"/>
    <x v="2"/>
    <n v="654452"/>
  </r>
  <r>
    <x v="109"/>
    <x v="2"/>
    <x v="2"/>
    <x v="3"/>
    <n v="25000"/>
  </r>
  <r>
    <x v="109"/>
    <x v="2"/>
    <x v="2"/>
    <x v="4"/>
    <n v="565500"/>
  </r>
  <r>
    <x v="109"/>
    <x v="2"/>
    <x v="2"/>
    <x v="6"/>
    <n v="1500"/>
  </r>
  <r>
    <x v="109"/>
    <x v="2"/>
    <x v="3"/>
    <x v="0"/>
    <n v="35734"/>
  </r>
  <r>
    <x v="109"/>
    <x v="2"/>
    <x v="3"/>
    <x v="2"/>
    <n v="7952"/>
  </r>
  <r>
    <x v="109"/>
    <x v="2"/>
    <x v="3"/>
    <x v="4"/>
    <n v="22200"/>
  </r>
  <r>
    <x v="109"/>
    <x v="2"/>
    <x v="3"/>
    <x v="6"/>
    <n v="10946"/>
  </r>
  <r>
    <x v="109"/>
    <x v="2"/>
    <x v="6"/>
    <x v="3"/>
    <n v="5000"/>
  </r>
  <r>
    <x v="109"/>
    <x v="2"/>
    <x v="8"/>
    <x v="3"/>
    <n v="15000"/>
  </r>
  <r>
    <x v="109"/>
    <x v="2"/>
    <x v="8"/>
    <x v="4"/>
    <n v="5000"/>
  </r>
  <r>
    <x v="109"/>
    <x v="3"/>
    <x v="2"/>
    <x v="0"/>
    <n v="13000"/>
  </r>
  <r>
    <x v="109"/>
    <x v="3"/>
    <x v="2"/>
    <x v="1"/>
    <n v="500"/>
  </r>
  <r>
    <x v="109"/>
    <x v="3"/>
    <x v="2"/>
    <x v="2"/>
    <n v="2967"/>
  </r>
  <r>
    <x v="110"/>
    <x v="0"/>
    <x v="0"/>
    <x v="5"/>
    <n v="3000"/>
  </r>
  <r>
    <x v="110"/>
    <x v="0"/>
    <x v="0"/>
    <x v="0"/>
    <n v="1037284"/>
  </r>
  <r>
    <x v="110"/>
    <x v="0"/>
    <x v="0"/>
    <x v="1"/>
    <n v="540838"/>
  </r>
  <r>
    <x v="110"/>
    <x v="0"/>
    <x v="0"/>
    <x v="2"/>
    <n v="523721"/>
  </r>
  <r>
    <x v="110"/>
    <x v="0"/>
    <x v="0"/>
    <x v="3"/>
    <n v="40500"/>
  </r>
  <r>
    <x v="110"/>
    <x v="0"/>
    <x v="0"/>
    <x v="4"/>
    <n v="375000"/>
  </r>
  <r>
    <x v="110"/>
    <x v="0"/>
    <x v="0"/>
    <x v="6"/>
    <n v="20000"/>
  </r>
  <r>
    <x v="110"/>
    <x v="0"/>
    <x v="10"/>
    <x v="0"/>
    <n v="197665"/>
  </r>
  <r>
    <x v="110"/>
    <x v="0"/>
    <x v="10"/>
    <x v="2"/>
    <n v="53947"/>
  </r>
  <r>
    <x v="110"/>
    <x v="0"/>
    <x v="9"/>
    <x v="0"/>
    <n v="82624"/>
  </r>
  <r>
    <x v="110"/>
    <x v="0"/>
    <x v="9"/>
    <x v="2"/>
    <n v="30710"/>
  </r>
  <r>
    <x v="110"/>
    <x v="0"/>
    <x v="1"/>
    <x v="0"/>
    <n v="11835569"/>
  </r>
  <r>
    <x v="110"/>
    <x v="0"/>
    <x v="1"/>
    <x v="1"/>
    <n v="341729"/>
  </r>
  <r>
    <x v="110"/>
    <x v="0"/>
    <x v="1"/>
    <x v="2"/>
    <n v="4249621"/>
  </r>
  <r>
    <x v="110"/>
    <x v="0"/>
    <x v="1"/>
    <x v="3"/>
    <n v="63300"/>
  </r>
  <r>
    <x v="110"/>
    <x v="0"/>
    <x v="1"/>
    <x v="4"/>
    <n v="1860000"/>
  </r>
  <r>
    <x v="110"/>
    <x v="0"/>
    <x v="2"/>
    <x v="5"/>
    <n v="131000"/>
  </r>
  <r>
    <x v="110"/>
    <x v="0"/>
    <x v="2"/>
    <x v="0"/>
    <n v="16203073"/>
  </r>
  <r>
    <x v="110"/>
    <x v="0"/>
    <x v="2"/>
    <x v="1"/>
    <n v="10366743"/>
  </r>
  <r>
    <x v="110"/>
    <x v="0"/>
    <x v="2"/>
    <x v="2"/>
    <n v="11305331"/>
  </r>
  <r>
    <x v="110"/>
    <x v="0"/>
    <x v="2"/>
    <x v="3"/>
    <n v="110000"/>
  </r>
  <r>
    <x v="110"/>
    <x v="0"/>
    <x v="2"/>
    <x v="4"/>
    <n v="2917000"/>
  </r>
  <r>
    <x v="110"/>
    <x v="0"/>
    <x v="2"/>
    <x v="6"/>
    <n v="16200"/>
  </r>
  <r>
    <x v="110"/>
    <x v="0"/>
    <x v="3"/>
    <x v="0"/>
    <n v="520132"/>
  </r>
  <r>
    <x v="110"/>
    <x v="0"/>
    <x v="3"/>
    <x v="1"/>
    <n v="258914"/>
  </r>
  <r>
    <x v="110"/>
    <x v="0"/>
    <x v="3"/>
    <x v="2"/>
    <n v="170913"/>
  </r>
  <r>
    <x v="110"/>
    <x v="0"/>
    <x v="8"/>
    <x v="3"/>
    <n v="250000"/>
  </r>
  <r>
    <x v="110"/>
    <x v="1"/>
    <x v="2"/>
    <x v="4"/>
    <n v="300000"/>
  </r>
  <r>
    <x v="110"/>
    <x v="2"/>
    <x v="9"/>
    <x v="5"/>
    <n v="500"/>
  </r>
  <r>
    <x v="110"/>
    <x v="2"/>
    <x v="2"/>
    <x v="0"/>
    <n v="29210"/>
  </r>
  <r>
    <x v="110"/>
    <x v="2"/>
    <x v="2"/>
    <x v="2"/>
    <n v="10198"/>
  </r>
  <r>
    <x v="110"/>
    <x v="2"/>
    <x v="2"/>
    <x v="3"/>
    <n v="136000"/>
  </r>
  <r>
    <x v="110"/>
    <x v="2"/>
    <x v="2"/>
    <x v="4"/>
    <n v="4454566"/>
  </r>
  <r>
    <x v="110"/>
    <x v="2"/>
    <x v="5"/>
    <x v="4"/>
    <n v="1300000"/>
  </r>
  <r>
    <x v="110"/>
    <x v="2"/>
    <x v="3"/>
    <x v="0"/>
    <n v="422"/>
  </r>
  <r>
    <x v="110"/>
    <x v="2"/>
    <x v="3"/>
    <x v="2"/>
    <n v="104"/>
  </r>
  <r>
    <x v="111"/>
    <x v="0"/>
    <x v="0"/>
    <x v="0"/>
    <n v="36318"/>
  </r>
  <r>
    <x v="111"/>
    <x v="0"/>
    <x v="0"/>
    <x v="2"/>
    <n v="14691"/>
  </r>
  <r>
    <x v="111"/>
    <x v="0"/>
    <x v="0"/>
    <x v="6"/>
    <n v="500"/>
  </r>
  <r>
    <x v="111"/>
    <x v="0"/>
    <x v="10"/>
    <x v="1"/>
    <n v="21837"/>
  </r>
  <r>
    <x v="111"/>
    <x v="0"/>
    <x v="10"/>
    <x v="2"/>
    <n v="15367"/>
  </r>
  <r>
    <x v="111"/>
    <x v="0"/>
    <x v="10"/>
    <x v="3"/>
    <n v="3000"/>
  </r>
  <r>
    <x v="111"/>
    <x v="0"/>
    <x v="10"/>
    <x v="4"/>
    <n v="2000"/>
  </r>
  <r>
    <x v="111"/>
    <x v="0"/>
    <x v="7"/>
    <x v="3"/>
    <n v="500"/>
  </r>
  <r>
    <x v="111"/>
    <x v="0"/>
    <x v="1"/>
    <x v="0"/>
    <n v="156694"/>
  </r>
  <r>
    <x v="111"/>
    <x v="0"/>
    <x v="1"/>
    <x v="1"/>
    <n v="39254"/>
  </r>
  <r>
    <x v="111"/>
    <x v="0"/>
    <x v="1"/>
    <x v="2"/>
    <n v="82805"/>
  </r>
  <r>
    <x v="111"/>
    <x v="0"/>
    <x v="1"/>
    <x v="3"/>
    <n v="2000"/>
  </r>
  <r>
    <x v="111"/>
    <x v="0"/>
    <x v="1"/>
    <x v="4"/>
    <n v="79000"/>
  </r>
  <r>
    <x v="111"/>
    <x v="0"/>
    <x v="2"/>
    <x v="0"/>
    <n v="415298"/>
  </r>
  <r>
    <x v="111"/>
    <x v="0"/>
    <x v="2"/>
    <x v="1"/>
    <n v="341651"/>
  </r>
  <r>
    <x v="111"/>
    <x v="0"/>
    <x v="2"/>
    <x v="2"/>
    <n v="396607"/>
  </r>
  <r>
    <x v="111"/>
    <x v="0"/>
    <x v="2"/>
    <x v="3"/>
    <n v="7511"/>
  </r>
  <r>
    <x v="111"/>
    <x v="0"/>
    <x v="2"/>
    <x v="4"/>
    <n v="3500"/>
  </r>
  <r>
    <x v="111"/>
    <x v="0"/>
    <x v="2"/>
    <x v="6"/>
    <n v="8000"/>
  </r>
  <r>
    <x v="111"/>
    <x v="0"/>
    <x v="3"/>
    <x v="0"/>
    <n v="2779"/>
  </r>
  <r>
    <x v="111"/>
    <x v="0"/>
    <x v="3"/>
    <x v="2"/>
    <n v="631"/>
  </r>
  <r>
    <x v="111"/>
    <x v="0"/>
    <x v="3"/>
    <x v="4"/>
    <n v="3500"/>
  </r>
  <r>
    <x v="111"/>
    <x v="0"/>
    <x v="3"/>
    <x v="6"/>
    <n v="2000"/>
  </r>
  <r>
    <x v="111"/>
    <x v="0"/>
    <x v="8"/>
    <x v="3"/>
    <n v="2000"/>
  </r>
  <r>
    <x v="111"/>
    <x v="0"/>
    <x v="8"/>
    <x v="4"/>
    <n v="4500"/>
  </r>
  <r>
    <x v="111"/>
    <x v="0"/>
    <x v="4"/>
    <x v="0"/>
    <n v="8368"/>
  </r>
  <r>
    <x v="111"/>
    <x v="0"/>
    <x v="4"/>
    <x v="2"/>
    <n v="1901"/>
  </r>
  <r>
    <x v="111"/>
    <x v="1"/>
    <x v="2"/>
    <x v="0"/>
    <n v="19600"/>
  </r>
  <r>
    <x v="111"/>
    <x v="1"/>
    <x v="2"/>
    <x v="2"/>
    <n v="9556"/>
  </r>
  <r>
    <x v="111"/>
    <x v="2"/>
    <x v="2"/>
    <x v="0"/>
    <n v="29399"/>
  </r>
  <r>
    <x v="111"/>
    <x v="2"/>
    <x v="2"/>
    <x v="1"/>
    <n v="126142"/>
  </r>
  <r>
    <x v="111"/>
    <x v="2"/>
    <x v="2"/>
    <x v="2"/>
    <n v="103376"/>
  </r>
  <r>
    <x v="112"/>
    <x v="0"/>
    <x v="0"/>
    <x v="0"/>
    <n v="117435"/>
  </r>
  <r>
    <x v="112"/>
    <x v="0"/>
    <x v="0"/>
    <x v="1"/>
    <n v="44688"/>
  </r>
  <r>
    <x v="112"/>
    <x v="0"/>
    <x v="0"/>
    <x v="2"/>
    <n v="58112"/>
  </r>
  <r>
    <x v="112"/>
    <x v="0"/>
    <x v="0"/>
    <x v="3"/>
    <n v="750"/>
  </r>
  <r>
    <x v="112"/>
    <x v="0"/>
    <x v="0"/>
    <x v="4"/>
    <n v="400"/>
  </r>
  <r>
    <x v="112"/>
    <x v="0"/>
    <x v="7"/>
    <x v="1"/>
    <n v="6081"/>
  </r>
  <r>
    <x v="112"/>
    <x v="0"/>
    <x v="7"/>
    <x v="2"/>
    <n v="3972"/>
  </r>
  <r>
    <x v="112"/>
    <x v="0"/>
    <x v="1"/>
    <x v="0"/>
    <n v="130824"/>
  </r>
  <r>
    <x v="112"/>
    <x v="0"/>
    <x v="1"/>
    <x v="1"/>
    <n v="24649"/>
  </r>
  <r>
    <x v="112"/>
    <x v="0"/>
    <x v="1"/>
    <x v="2"/>
    <n v="85526"/>
  </r>
  <r>
    <x v="112"/>
    <x v="0"/>
    <x v="1"/>
    <x v="3"/>
    <n v="3800"/>
  </r>
  <r>
    <x v="112"/>
    <x v="0"/>
    <x v="1"/>
    <x v="4"/>
    <n v="470000"/>
  </r>
  <r>
    <x v="112"/>
    <x v="0"/>
    <x v="2"/>
    <x v="0"/>
    <n v="677082"/>
  </r>
  <r>
    <x v="112"/>
    <x v="0"/>
    <x v="2"/>
    <x v="1"/>
    <n v="156263"/>
  </r>
  <r>
    <x v="112"/>
    <x v="0"/>
    <x v="2"/>
    <x v="2"/>
    <n v="370141"/>
  </r>
  <r>
    <x v="112"/>
    <x v="0"/>
    <x v="2"/>
    <x v="3"/>
    <n v="9750"/>
  </r>
  <r>
    <x v="112"/>
    <x v="0"/>
    <x v="2"/>
    <x v="4"/>
    <n v="78250"/>
  </r>
  <r>
    <x v="112"/>
    <x v="0"/>
    <x v="2"/>
    <x v="6"/>
    <n v="2750"/>
  </r>
  <r>
    <x v="112"/>
    <x v="0"/>
    <x v="3"/>
    <x v="0"/>
    <n v="9025"/>
  </r>
  <r>
    <x v="112"/>
    <x v="0"/>
    <x v="3"/>
    <x v="2"/>
    <n v="2313"/>
  </r>
  <r>
    <x v="112"/>
    <x v="0"/>
    <x v="3"/>
    <x v="4"/>
    <n v="8300"/>
  </r>
  <r>
    <x v="112"/>
    <x v="0"/>
    <x v="3"/>
    <x v="6"/>
    <n v="2000"/>
  </r>
  <r>
    <x v="112"/>
    <x v="0"/>
    <x v="8"/>
    <x v="3"/>
    <n v="500"/>
  </r>
  <r>
    <x v="112"/>
    <x v="0"/>
    <x v="4"/>
    <x v="0"/>
    <n v="13787"/>
  </r>
  <r>
    <x v="112"/>
    <x v="0"/>
    <x v="4"/>
    <x v="2"/>
    <n v="3528"/>
  </r>
  <r>
    <x v="112"/>
    <x v="2"/>
    <x v="1"/>
    <x v="1"/>
    <n v="91382"/>
  </r>
  <r>
    <x v="112"/>
    <x v="2"/>
    <x v="1"/>
    <x v="2"/>
    <n v="54333"/>
  </r>
  <r>
    <x v="112"/>
    <x v="2"/>
    <x v="2"/>
    <x v="1"/>
    <n v="88816"/>
  </r>
  <r>
    <x v="112"/>
    <x v="2"/>
    <x v="2"/>
    <x v="2"/>
    <n v="30340"/>
  </r>
  <r>
    <x v="112"/>
    <x v="2"/>
    <x v="2"/>
    <x v="3"/>
    <n v="6000"/>
  </r>
  <r>
    <x v="112"/>
    <x v="2"/>
    <x v="3"/>
    <x v="0"/>
    <n v="733"/>
  </r>
  <r>
    <x v="112"/>
    <x v="2"/>
    <x v="3"/>
    <x v="2"/>
    <n v="174"/>
  </r>
  <r>
    <x v="113"/>
    <x v="0"/>
    <x v="1"/>
    <x v="1"/>
    <n v="35048"/>
  </r>
  <r>
    <x v="113"/>
    <x v="0"/>
    <x v="1"/>
    <x v="2"/>
    <n v="19622"/>
  </r>
  <r>
    <x v="113"/>
    <x v="0"/>
    <x v="1"/>
    <x v="3"/>
    <n v="1000"/>
  </r>
  <r>
    <x v="113"/>
    <x v="0"/>
    <x v="1"/>
    <x v="4"/>
    <n v="180000"/>
  </r>
  <r>
    <x v="113"/>
    <x v="0"/>
    <x v="2"/>
    <x v="0"/>
    <n v="287975"/>
  </r>
  <r>
    <x v="113"/>
    <x v="0"/>
    <x v="2"/>
    <x v="1"/>
    <n v="92880"/>
  </r>
  <r>
    <x v="113"/>
    <x v="0"/>
    <x v="2"/>
    <x v="2"/>
    <n v="200731"/>
  </r>
  <r>
    <x v="113"/>
    <x v="0"/>
    <x v="2"/>
    <x v="3"/>
    <n v="10000"/>
  </r>
  <r>
    <x v="113"/>
    <x v="0"/>
    <x v="2"/>
    <x v="4"/>
    <n v="15000"/>
  </r>
  <r>
    <x v="113"/>
    <x v="0"/>
    <x v="2"/>
    <x v="6"/>
    <n v="1000"/>
  </r>
  <r>
    <x v="113"/>
    <x v="0"/>
    <x v="3"/>
    <x v="4"/>
    <n v="2000"/>
  </r>
  <r>
    <x v="113"/>
    <x v="0"/>
    <x v="3"/>
    <x v="6"/>
    <n v="1000"/>
  </r>
  <r>
    <x v="113"/>
    <x v="0"/>
    <x v="4"/>
    <x v="0"/>
    <n v="4103"/>
  </r>
  <r>
    <x v="113"/>
    <x v="0"/>
    <x v="4"/>
    <x v="2"/>
    <n v="911"/>
  </r>
  <r>
    <x v="113"/>
    <x v="2"/>
    <x v="2"/>
    <x v="1"/>
    <n v="87820"/>
  </r>
  <r>
    <x v="113"/>
    <x v="2"/>
    <x v="2"/>
    <x v="2"/>
    <n v="73247"/>
  </r>
  <r>
    <x v="113"/>
    <x v="2"/>
    <x v="2"/>
    <x v="3"/>
    <n v="9450"/>
  </r>
  <r>
    <x v="114"/>
    <x v="0"/>
    <x v="5"/>
    <x v="4"/>
    <n v="144441"/>
  </r>
  <r>
    <x v="115"/>
    <x v="0"/>
    <x v="0"/>
    <x v="0"/>
    <n v="89700"/>
  </r>
  <r>
    <x v="115"/>
    <x v="0"/>
    <x v="0"/>
    <x v="2"/>
    <n v="33043"/>
  </r>
  <r>
    <x v="115"/>
    <x v="0"/>
    <x v="10"/>
    <x v="1"/>
    <n v="36076"/>
  </r>
  <r>
    <x v="115"/>
    <x v="0"/>
    <x v="10"/>
    <x v="2"/>
    <n v="20041"/>
  </r>
  <r>
    <x v="115"/>
    <x v="0"/>
    <x v="1"/>
    <x v="0"/>
    <n v="155061"/>
  </r>
  <r>
    <x v="115"/>
    <x v="0"/>
    <x v="1"/>
    <x v="2"/>
    <n v="59962"/>
  </r>
  <r>
    <x v="115"/>
    <x v="0"/>
    <x v="2"/>
    <x v="0"/>
    <n v="928256"/>
  </r>
  <r>
    <x v="115"/>
    <x v="0"/>
    <x v="2"/>
    <x v="1"/>
    <n v="511056"/>
  </r>
  <r>
    <x v="115"/>
    <x v="0"/>
    <x v="2"/>
    <x v="2"/>
    <n v="696757"/>
  </r>
  <r>
    <x v="115"/>
    <x v="0"/>
    <x v="2"/>
    <x v="3"/>
    <n v="10750"/>
  </r>
  <r>
    <x v="115"/>
    <x v="0"/>
    <x v="2"/>
    <x v="4"/>
    <n v="133967"/>
  </r>
  <r>
    <x v="115"/>
    <x v="0"/>
    <x v="2"/>
    <x v="6"/>
    <n v="100"/>
  </r>
  <r>
    <x v="115"/>
    <x v="0"/>
    <x v="5"/>
    <x v="4"/>
    <n v="200000"/>
  </r>
  <r>
    <x v="115"/>
    <x v="0"/>
    <x v="3"/>
    <x v="4"/>
    <n v="2000"/>
  </r>
  <r>
    <x v="115"/>
    <x v="2"/>
    <x v="1"/>
    <x v="0"/>
    <n v="167644"/>
  </r>
  <r>
    <x v="115"/>
    <x v="2"/>
    <x v="1"/>
    <x v="2"/>
    <n v="63180"/>
  </r>
  <r>
    <x v="115"/>
    <x v="2"/>
    <x v="2"/>
    <x v="0"/>
    <n v="4466"/>
  </r>
  <r>
    <x v="115"/>
    <x v="2"/>
    <x v="2"/>
    <x v="1"/>
    <n v="15285"/>
  </r>
  <r>
    <x v="115"/>
    <x v="2"/>
    <x v="2"/>
    <x v="2"/>
    <n v="15679"/>
  </r>
  <r>
    <x v="115"/>
    <x v="2"/>
    <x v="5"/>
    <x v="4"/>
    <n v="33746"/>
  </r>
  <r>
    <x v="116"/>
    <x v="0"/>
    <x v="0"/>
    <x v="0"/>
    <n v="66000"/>
  </r>
  <r>
    <x v="116"/>
    <x v="0"/>
    <x v="0"/>
    <x v="1"/>
    <n v="18556"/>
  </r>
  <r>
    <x v="116"/>
    <x v="0"/>
    <x v="0"/>
    <x v="2"/>
    <n v="32340"/>
  </r>
  <r>
    <x v="116"/>
    <x v="0"/>
    <x v="1"/>
    <x v="0"/>
    <n v="201414"/>
  </r>
  <r>
    <x v="116"/>
    <x v="0"/>
    <x v="1"/>
    <x v="2"/>
    <n v="70073"/>
  </r>
  <r>
    <x v="116"/>
    <x v="0"/>
    <x v="1"/>
    <x v="3"/>
    <n v="17698"/>
  </r>
  <r>
    <x v="116"/>
    <x v="0"/>
    <x v="1"/>
    <x v="4"/>
    <n v="40000"/>
  </r>
  <r>
    <x v="116"/>
    <x v="0"/>
    <x v="2"/>
    <x v="0"/>
    <n v="227184"/>
  </r>
  <r>
    <x v="116"/>
    <x v="0"/>
    <x v="2"/>
    <x v="1"/>
    <n v="159340"/>
  </r>
  <r>
    <x v="116"/>
    <x v="0"/>
    <x v="2"/>
    <x v="2"/>
    <n v="251730"/>
  </r>
  <r>
    <x v="116"/>
    <x v="0"/>
    <x v="2"/>
    <x v="4"/>
    <n v="102524"/>
  </r>
  <r>
    <x v="116"/>
    <x v="0"/>
    <x v="5"/>
    <x v="4"/>
    <n v="50000"/>
  </r>
  <r>
    <x v="116"/>
    <x v="0"/>
    <x v="3"/>
    <x v="0"/>
    <n v="10692"/>
  </r>
  <r>
    <x v="116"/>
    <x v="0"/>
    <x v="3"/>
    <x v="2"/>
    <n v="2449"/>
  </r>
  <r>
    <x v="116"/>
    <x v="2"/>
    <x v="2"/>
    <x v="0"/>
    <n v="81095"/>
  </r>
  <r>
    <x v="116"/>
    <x v="2"/>
    <x v="2"/>
    <x v="2"/>
    <n v="30620"/>
  </r>
  <r>
    <x v="116"/>
    <x v="2"/>
    <x v="2"/>
    <x v="4"/>
    <n v="15872"/>
  </r>
  <r>
    <x v="116"/>
    <x v="2"/>
    <x v="3"/>
    <x v="0"/>
    <n v="2785"/>
  </r>
  <r>
    <x v="116"/>
    <x v="2"/>
    <x v="3"/>
    <x v="2"/>
    <n v="628"/>
  </r>
  <r>
    <x v="116"/>
    <x v="3"/>
    <x v="2"/>
    <x v="0"/>
    <n v="62438"/>
  </r>
  <r>
    <x v="116"/>
    <x v="3"/>
    <x v="2"/>
    <x v="2"/>
    <n v="5562"/>
  </r>
  <r>
    <x v="117"/>
    <x v="0"/>
    <x v="2"/>
    <x v="0"/>
    <n v="53420"/>
  </r>
  <r>
    <x v="117"/>
    <x v="0"/>
    <x v="2"/>
    <x v="1"/>
    <n v="21527"/>
  </r>
  <r>
    <x v="117"/>
    <x v="0"/>
    <x v="2"/>
    <x v="2"/>
    <n v="31618"/>
  </r>
  <r>
    <x v="117"/>
    <x v="0"/>
    <x v="2"/>
    <x v="3"/>
    <n v="1340"/>
  </r>
  <r>
    <x v="117"/>
    <x v="0"/>
    <x v="2"/>
    <x v="4"/>
    <n v="46680"/>
  </r>
  <r>
    <x v="117"/>
    <x v="1"/>
    <x v="2"/>
    <x v="1"/>
    <n v="2345"/>
  </r>
  <r>
    <x v="117"/>
    <x v="1"/>
    <x v="2"/>
    <x v="2"/>
    <n v="1731"/>
  </r>
  <r>
    <x v="117"/>
    <x v="2"/>
    <x v="2"/>
    <x v="1"/>
    <n v="12898"/>
  </r>
  <r>
    <x v="117"/>
    <x v="2"/>
    <x v="2"/>
    <x v="2"/>
    <n v="9520"/>
  </r>
  <r>
    <x v="118"/>
    <x v="0"/>
    <x v="0"/>
    <x v="0"/>
    <n v="85750"/>
  </r>
  <r>
    <x v="118"/>
    <x v="0"/>
    <x v="0"/>
    <x v="1"/>
    <n v="54326"/>
  </r>
  <r>
    <x v="118"/>
    <x v="0"/>
    <x v="0"/>
    <x v="2"/>
    <n v="49634"/>
  </r>
  <r>
    <x v="118"/>
    <x v="0"/>
    <x v="0"/>
    <x v="3"/>
    <n v="1035"/>
  </r>
  <r>
    <x v="118"/>
    <x v="0"/>
    <x v="0"/>
    <x v="4"/>
    <n v="2875"/>
  </r>
  <r>
    <x v="118"/>
    <x v="0"/>
    <x v="0"/>
    <x v="6"/>
    <n v="250"/>
  </r>
  <r>
    <x v="118"/>
    <x v="0"/>
    <x v="1"/>
    <x v="0"/>
    <n v="235259"/>
  </r>
  <r>
    <x v="118"/>
    <x v="0"/>
    <x v="1"/>
    <x v="1"/>
    <n v="36053"/>
  </r>
  <r>
    <x v="118"/>
    <x v="0"/>
    <x v="1"/>
    <x v="2"/>
    <n v="110943"/>
  </r>
  <r>
    <x v="118"/>
    <x v="0"/>
    <x v="1"/>
    <x v="3"/>
    <n v="1500"/>
  </r>
  <r>
    <x v="118"/>
    <x v="0"/>
    <x v="1"/>
    <x v="4"/>
    <n v="74950"/>
  </r>
  <r>
    <x v="118"/>
    <x v="0"/>
    <x v="1"/>
    <x v="6"/>
    <n v="800"/>
  </r>
  <r>
    <x v="118"/>
    <x v="0"/>
    <x v="2"/>
    <x v="0"/>
    <n v="545783"/>
  </r>
  <r>
    <x v="118"/>
    <x v="0"/>
    <x v="2"/>
    <x v="1"/>
    <n v="277339"/>
  </r>
  <r>
    <x v="118"/>
    <x v="0"/>
    <x v="2"/>
    <x v="2"/>
    <n v="378331"/>
  </r>
  <r>
    <x v="118"/>
    <x v="0"/>
    <x v="2"/>
    <x v="3"/>
    <n v="9300"/>
  </r>
  <r>
    <x v="118"/>
    <x v="0"/>
    <x v="2"/>
    <x v="4"/>
    <n v="13255"/>
  </r>
  <r>
    <x v="118"/>
    <x v="0"/>
    <x v="3"/>
    <x v="0"/>
    <n v="8087"/>
  </r>
  <r>
    <x v="118"/>
    <x v="0"/>
    <x v="3"/>
    <x v="1"/>
    <n v="1800"/>
  </r>
  <r>
    <x v="118"/>
    <x v="0"/>
    <x v="3"/>
    <x v="2"/>
    <n v="3108"/>
  </r>
  <r>
    <x v="118"/>
    <x v="0"/>
    <x v="3"/>
    <x v="3"/>
    <n v="2250"/>
  </r>
  <r>
    <x v="118"/>
    <x v="0"/>
    <x v="3"/>
    <x v="4"/>
    <n v="550"/>
  </r>
  <r>
    <x v="118"/>
    <x v="0"/>
    <x v="3"/>
    <x v="6"/>
    <n v="750"/>
  </r>
  <r>
    <x v="118"/>
    <x v="0"/>
    <x v="6"/>
    <x v="7"/>
    <n v="2500"/>
  </r>
  <r>
    <x v="118"/>
    <x v="0"/>
    <x v="4"/>
    <x v="0"/>
    <n v="13756"/>
  </r>
  <r>
    <x v="118"/>
    <x v="0"/>
    <x v="4"/>
    <x v="2"/>
    <n v="1665"/>
  </r>
  <r>
    <x v="118"/>
    <x v="1"/>
    <x v="0"/>
    <x v="3"/>
    <n v="65825"/>
  </r>
  <r>
    <x v="118"/>
    <x v="2"/>
    <x v="0"/>
    <x v="3"/>
    <n v="19497"/>
  </r>
  <r>
    <x v="118"/>
    <x v="2"/>
    <x v="2"/>
    <x v="1"/>
    <n v="162966"/>
  </r>
  <r>
    <x v="118"/>
    <x v="2"/>
    <x v="2"/>
    <x v="2"/>
    <n v="103911"/>
  </r>
  <r>
    <x v="119"/>
    <x v="0"/>
    <x v="5"/>
    <x v="4"/>
    <n v="297841"/>
  </r>
  <r>
    <x v="119"/>
    <x v="3"/>
    <x v="5"/>
    <x v="4"/>
    <n v="8000"/>
  </r>
  <r>
    <x v="120"/>
    <x v="0"/>
    <x v="0"/>
    <x v="0"/>
    <n v="374137"/>
  </r>
  <r>
    <x v="120"/>
    <x v="0"/>
    <x v="0"/>
    <x v="1"/>
    <n v="204853"/>
  </r>
  <r>
    <x v="120"/>
    <x v="0"/>
    <x v="0"/>
    <x v="2"/>
    <n v="188340"/>
  </r>
  <r>
    <x v="120"/>
    <x v="0"/>
    <x v="0"/>
    <x v="3"/>
    <n v="4400"/>
  </r>
  <r>
    <x v="120"/>
    <x v="0"/>
    <x v="0"/>
    <x v="4"/>
    <n v="9350"/>
  </r>
  <r>
    <x v="120"/>
    <x v="0"/>
    <x v="0"/>
    <x v="6"/>
    <n v="20400"/>
  </r>
  <r>
    <x v="120"/>
    <x v="0"/>
    <x v="9"/>
    <x v="1"/>
    <n v="21183"/>
  </r>
  <r>
    <x v="120"/>
    <x v="0"/>
    <x v="9"/>
    <x v="2"/>
    <n v="10444"/>
  </r>
  <r>
    <x v="120"/>
    <x v="0"/>
    <x v="1"/>
    <x v="0"/>
    <n v="4088089"/>
  </r>
  <r>
    <x v="120"/>
    <x v="0"/>
    <x v="1"/>
    <x v="1"/>
    <n v="376558"/>
  </r>
  <r>
    <x v="120"/>
    <x v="0"/>
    <x v="1"/>
    <x v="2"/>
    <n v="1547168"/>
  </r>
  <r>
    <x v="120"/>
    <x v="0"/>
    <x v="1"/>
    <x v="3"/>
    <n v="5000"/>
  </r>
  <r>
    <x v="120"/>
    <x v="0"/>
    <x v="1"/>
    <x v="4"/>
    <n v="1302900"/>
  </r>
  <r>
    <x v="120"/>
    <x v="0"/>
    <x v="1"/>
    <x v="6"/>
    <n v="8700"/>
  </r>
  <r>
    <x v="120"/>
    <x v="0"/>
    <x v="2"/>
    <x v="0"/>
    <n v="7364472"/>
  </r>
  <r>
    <x v="120"/>
    <x v="0"/>
    <x v="2"/>
    <x v="1"/>
    <n v="2644288"/>
  </r>
  <r>
    <x v="120"/>
    <x v="0"/>
    <x v="2"/>
    <x v="2"/>
    <n v="4141368"/>
  </r>
  <r>
    <x v="120"/>
    <x v="0"/>
    <x v="2"/>
    <x v="3"/>
    <n v="105850"/>
  </r>
  <r>
    <x v="120"/>
    <x v="0"/>
    <x v="2"/>
    <x v="4"/>
    <n v="236012"/>
  </r>
  <r>
    <x v="120"/>
    <x v="0"/>
    <x v="2"/>
    <x v="6"/>
    <n v="2450"/>
  </r>
  <r>
    <x v="120"/>
    <x v="0"/>
    <x v="2"/>
    <x v="7"/>
    <n v="7200"/>
  </r>
  <r>
    <x v="120"/>
    <x v="0"/>
    <x v="5"/>
    <x v="4"/>
    <n v="82500"/>
  </r>
  <r>
    <x v="120"/>
    <x v="0"/>
    <x v="3"/>
    <x v="0"/>
    <n v="106944"/>
  </r>
  <r>
    <x v="120"/>
    <x v="0"/>
    <x v="3"/>
    <x v="2"/>
    <n v="24029"/>
  </r>
  <r>
    <x v="120"/>
    <x v="0"/>
    <x v="3"/>
    <x v="3"/>
    <n v="3000"/>
  </r>
  <r>
    <x v="120"/>
    <x v="0"/>
    <x v="3"/>
    <x v="4"/>
    <n v="9400"/>
  </r>
  <r>
    <x v="120"/>
    <x v="0"/>
    <x v="3"/>
    <x v="6"/>
    <n v="1900"/>
  </r>
  <r>
    <x v="120"/>
    <x v="0"/>
    <x v="6"/>
    <x v="3"/>
    <n v="3500"/>
  </r>
  <r>
    <x v="120"/>
    <x v="0"/>
    <x v="6"/>
    <x v="4"/>
    <n v="25000"/>
  </r>
  <r>
    <x v="120"/>
    <x v="0"/>
    <x v="8"/>
    <x v="3"/>
    <n v="500"/>
  </r>
  <r>
    <x v="120"/>
    <x v="0"/>
    <x v="4"/>
    <x v="0"/>
    <n v="160415"/>
  </r>
  <r>
    <x v="120"/>
    <x v="0"/>
    <x v="4"/>
    <x v="2"/>
    <n v="36042"/>
  </r>
  <r>
    <x v="120"/>
    <x v="2"/>
    <x v="1"/>
    <x v="4"/>
    <n v="500000"/>
  </r>
  <r>
    <x v="120"/>
    <x v="2"/>
    <x v="2"/>
    <x v="1"/>
    <n v="960043"/>
  </r>
  <r>
    <x v="120"/>
    <x v="2"/>
    <x v="2"/>
    <x v="2"/>
    <n v="611539"/>
  </r>
  <r>
    <x v="120"/>
    <x v="2"/>
    <x v="2"/>
    <x v="3"/>
    <n v="76124"/>
  </r>
  <r>
    <x v="120"/>
    <x v="2"/>
    <x v="2"/>
    <x v="4"/>
    <n v="1292128"/>
  </r>
  <r>
    <x v="121"/>
    <x v="0"/>
    <x v="0"/>
    <x v="5"/>
    <n v="2000"/>
  </r>
  <r>
    <x v="121"/>
    <x v="0"/>
    <x v="0"/>
    <x v="0"/>
    <n v="1219705"/>
  </r>
  <r>
    <x v="121"/>
    <x v="0"/>
    <x v="0"/>
    <x v="1"/>
    <n v="905132"/>
  </r>
  <r>
    <x v="121"/>
    <x v="0"/>
    <x v="0"/>
    <x v="2"/>
    <n v="669861"/>
  </r>
  <r>
    <x v="121"/>
    <x v="0"/>
    <x v="0"/>
    <x v="3"/>
    <n v="9500"/>
  </r>
  <r>
    <x v="121"/>
    <x v="0"/>
    <x v="0"/>
    <x v="4"/>
    <n v="7978"/>
  </r>
  <r>
    <x v="121"/>
    <x v="0"/>
    <x v="0"/>
    <x v="6"/>
    <n v="3200"/>
  </r>
  <r>
    <x v="121"/>
    <x v="0"/>
    <x v="10"/>
    <x v="1"/>
    <n v="40288"/>
  </r>
  <r>
    <x v="121"/>
    <x v="0"/>
    <x v="10"/>
    <x v="2"/>
    <n v="23627"/>
  </r>
  <r>
    <x v="121"/>
    <x v="0"/>
    <x v="9"/>
    <x v="3"/>
    <n v="94512"/>
  </r>
  <r>
    <x v="121"/>
    <x v="0"/>
    <x v="1"/>
    <x v="0"/>
    <n v="10276725"/>
  </r>
  <r>
    <x v="121"/>
    <x v="0"/>
    <x v="1"/>
    <x v="1"/>
    <n v="485877"/>
  </r>
  <r>
    <x v="121"/>
    <x v="0"/>
    <x v="1"/>
    <x v="2"/>
    <n v="3848632"/>
  </r>
  <r>
    <x v="121"/>
    <x v="0"/>
    <x v="1"/>
    <x v="3"/>
    <n v="33500"/>
  </r>
  <r>
    <x v="121"/>
    <x v="0"/>
    <x v="1"/>
    <x v="4"/>
    <n v="175000"/>
  </r>
  <r>
    <x v="121"/>
    <x v="0"/>
    <x v="1"/>
    <x v="6"/>
    <n v="9800"/>
  </r>
  <r>
    <x v="121"/>
    <x v="0"/>
    <x v="2"/>
    <x v="5"/>
    <n v="246356"/>
  </r>
  <r>
    <x v="121"/>
    <x v="0"/>
    <x v="2"/>
    <x v="0"/>
    <n v="14078727"/>
  </r>
  <r>
    <x v="121"/>
    <x v="0"/>
    <x v="2"/>
    <x v="1"/>
    <n v="12883329"/>
  </r>
  <r>
    <x v="121"/>
    <x v="0"/>
    <x v="2"/>
    <x v="2"/>
    <n v="13008113"/>
  </r>
  <r>
    <x v="121"/>
    <x v="0"/>
    <x v="2"/>
    <x v="3"/>
    <n v="65244"/>
  </r>
  <r>
    <x v="121"/>
    <x v="0"/>
    <x v="2"/>
    <x v="4"/>
    <n v="4710993"/>
  </r>
  <r>
    <x v="121"/>
    <x v="0"/>
    <x v="2"/>
    <x v="6"/>
    <n v="17300"/>
  </r>
  <r>
    <x v="121"/>
    <x v="0"/>
    <x v="5"/>
    <x v="4"/>
    <n v="100000"/>
  </r>
  <r>
    <x v="121"/>
    <x v="0"/>
    <x v="3"/>
    <x v="5"/>
    <n v="4900"/>
  </r>
  <r>
    <x v="121"/>
    <x v="0"/>
    <x v="3"/>
    <x v="0"/>
    <n v="1464112"/>
  </r>
  <r>
    <x v="121"/>
    <x v="0"/>
    <x v="3"/>
    <x v="1"/>
    <n v="79157"/>
  </r>
  <r>
    <x v="121"/>
    <x v="0"/>
    <x v="3"/>
    <x v="2"/>
    <n v="455900"/>
  </r>
  <r>
    <x v="121"/>
    <x v="0"/>
    <x v="8"/>
    <x v="3"/>
    <n v="90096"/>
  </r>
  <r>
    <x v="121"/>
    <x v="2"/>
    <x v="0"/>
    <x v="1"/>
    <n v="73510"/>
  </r>
  <r>
    <x v="121"/>
    <x v="2"/>
    <x v="0"/>
    <x v="2"/>
    <n v="26919"/>
  </r>
  <r>
    <x v="121"/>
    <x v="2"/>
    <x v="1"/>
    <x v="0"/>
    <n v="123402"/>
  </r>
  <r>
    <x v="121"/>
    <x v="2"/>
    <x v="1"/>
    <x v="1"/>
    <n v="317938"/>
  </r>
  <r>
    <x v="121"/>
    <x v="2"/>
    <x v="1"/>
    <x v="2"/>
    <n v="168269"/>
  </r>
  <r>
    <x v="121"/>
    <x v="2"/>
    <x v="2"/>
    <x v="0"/>
    <n v="2031353"/>
  </r>
  <r>
    <x v="121"/>
    <x v="2"/>
    <x v="2"/>
    <x v="1"/>
    <n v="3284"/>
  </r>
  <r>
    <x v="121"/>
    <x v="2"/>
    <x v="2"/>
    <x v="2"/>
    <n v="723385"/>
  </r>
  <r>
    <x v="121"/>
    <x v="2"/>
    <x v="2"/>
    <x v="3"/>
    <n v="17991"/>
  </r>
  <r>
    <x v="121"/>
    <x v="2"/>
    <x v="2"/>
    <x v="4"/>
    <n v="4303574"/>
  </r>
  <r>
    <x v="122"/>
    <x v="0"/>
    <x v="0"/>
    <x v="0"/>
    <n v="96491"/>
  </r>
  <r>
    <x v="122"/>
    <x v="0"/>
    <x v="0"/>
    <x v="1"/>
    <n v="78604"/>
  </r>
  <r>
    <x v="122"/>
    <x v="0"/>
    <x v="0"/>
    <x v="2"/>
    <n v="56348"/>
  </r>
  <r>
    <x v="122"/>
    <x v="0"/>
    <x v="0"/>
    <x v="4"/>
    <n v="7864"/>
  </r>
  <r>
    <x v="122"/>
    <x v="0"/>
    <x v="1"/>
    <x v="0"/>
    <n v="354383"/>
  </r>
  <r>
    <x v="122"/>
    <x v="0"/>
    <x v="1"/>
    <x v="1"/>
    <n v="141407"/>
  </r>
  <r>
    <x v="122"/>
    <x v="0"/>
    <x v="1"/>
    <x v="2"/>
    <n v="198162"/>
  </r>
  <r>
    <x v="122"/>
    <x v="0"/>
    <x v="1"/>
    <x v="3"/>
    <n v="1000"/>
  </r>
  <r>
    <x v="122"/>
    <x v="0"/>
    <x v="1"/>
    <x v="4"/>
    <n v="6500"/>
  </r>
  <r>
    <x v="122"/>
    <x v="0"/>
    <x v="2"/>
    <x v="0"/>
    <n v="1631726"/>
  </r>
  <r>
    <x v="122"/>
    <x v="0"/>
    <x v="2"/>
    <x v="1"/>
    <n v="937331"/>
  </r>
  <r>
    <x v="122"/>
    <x v="0"/>
    <x v="2"/>
    <x v="2"/>
    <n v="1128993"/>
  </r>
  <r>
    <x v="122"/>
    <x v="0"/>
    <x v="2"/>
    <x v="3"/>
    <n v="16725"/>
  </r>
  <r>
    <x v="122"/>
    <x v="0"/>
    <x v="2"/>
    <x v="4"/>
    <n v="917000"/>
  </r>
  <r>
    <x v="122"/>
    <x v="0"/>
    <x v="3"/>
    <x v="0"/>
    <n v="134492"/>
  </r>
  <r>
    <x v="122"/>
    <x v="0"/>
    <x v="3"/>
    <x v="2"/>
    <n v="29744"/>
  </r>
  <r>
    <x v="122"/>
    <x v="0"/>
    <x v="8"/>
    <x v="3"/>
    <n v="500"/>
  </r>
  <r>
    <x v="122"/>
    <x v="0"/>
    <x v="4"/>
    <x v="0"/>
    <n v="24379"/>
  </r>
  <r>
    <x v="122"/>
    <x v="0"/>
    <x v="4"/>
    <x v="2"/>
    <n v="9012"/>
  </r>
  <r>
    <x v="122"/>
    <x v="2"/>
    <x v="1"/>
    <x v="0"/>
    <n v="283658"/>
  </r>
  <r>
    <x v="122"/>
    <x v="2"/>
    <x v="1"/>
    <x v="2"/>
    <n v="102834"/>
  </r>
  <r>
    <x v="122"/>
    <x v="2"/>
    <x v="2"/>
    <x v="0"/>
    <n v="11292"/>
  </r>
  <r>
    <x v="122"/>
    <x v="2"/>
    <x v="2"/>
    <x v="1"/>
    <n v="170094"/>
  </r>
  <r>
    <x v="122"/>
    <x v="2"/>
    <x v="2"/>
    <x v="2"/>
    <n v="100052"/>
  </r>
  <r>
    <x v="122"/>
    <x v="2"/>
    <x v="3"/>
    <x v="0"/>
    <n v="20643"/>
  </r>
  <r>
    <x v="122"/>
    <x v="2"/>
    <x v="3"/>
    <x v="2"/>
    <n v="4304"/>
  </r>
  <r>
    <x v="123"/>
    <x v="0"/>
    <x v="1"/>
    <x v="4"/>
    <n v="10000"/>
  </r>
  <r>
    <x v="123"/>
    <x v="0"/>
    <x v="1"/>
    <x v="6"/>
    <n v="500"/>
  </r>
  <r>
    <x v="123"/>
    <x v="0"/>
    <x v="2"/>
    <x v="0"/>
    <n v="48734"/>
  </r>
  <r>
    <x v="123"/>
    <x v="0"/>
    <x v="2"/>
    <x v="1"/>
    <n v="20530"/>
  </r>
  <r>
    <x v="123"/>
    <x v="0"/>
    <x v="2"/>
    <x v="2"/>
    <n v="22897"/>
  </r>
  <r>
    <x v="123"/>
    <x v="0"/>
    <x v="2"/>
    <x v="3"/>
    <n v="800"/>
  </r>
  <r>
    <x v="123"/>
    <x v="0"/>
    <x v="2"/>
    <x v="6"/>
    <n v="500"/>
  </r>
  <r>
    <x v="123"/>
    <x v="1"/>
    <x v="1"/>
    <x v="4"/>
    <n v="1926"/>
  </r>
  <r>
    <x v="123"/>
    <x v="2"/>
    <x v="1"/>
    <x v="4"/>
    <n v="6656"/>
  </r>
  <r>
    <x v="124"/>
    <x v="0"/>
    <x v="0"/>
    <x v="0"/>
    <n v="70843"/>
  </r>
  <r>
    <x v="124"/>
    <x v="0"/>
    <x v="0"/>
    <x v="2"/>
    <n v="26702"/>
  </r>
  <r>
    <x v="124"/>
    <x v="0"/>
    <x v="0"/>
    <x v="3"/>
    <n v="100"/>
  </r>
  <r>
    <x v="124"/>
    <x v="0"/>
    <x v="1"/>
    <x v="0"/>
    <n v="78025"/>
  </r>
  <r>
    <x v="124"/>
    <x v="0"/>
    <x v="1"/>
    <x v="2"/>
    <n v="18237"/>
  </r>
  <r>
    <x v="124"/>
    <x v="0"/>
    <x v="1"/>
    <x v="3"/>
    <n v="2000"/>
  </r>
  <r>
    <x v="124"/>
    <x v="0"/>
    <x v="1"/>
    <x v="4"/>
    <n v="85000"/>
  </r>
  <r>
    <x v="124"/>
    <x v="0"/>
    <x v="2"/>
    <x v="0"/>
    <n v="159131"/>
  </r>
  <r>
    <x v="124"/>
    <x v="0"/>
    <x v="2"/>
    <x v="1"/>
    <n v="146783"/>
  </r>
  <r>
    <x v="124"/>
    <x v="0"/>
    <x v="2"/>
    <x v="2"/>
    <n v="161329"/>
  </r>
  <r>
    <x v="124"/>
    <x v="0"/>
    <x v="2"/>
    <x v="3"/>
    <n v="4000"/>
  </r>
  <r>
    <x v="124"/>
    <x v="0"/>
    <x v="2"/>
    <x v="4"/>
    <n v="8000"/>
  </r>
  <r>
    <x v="124"/>
    <x v="0"/>
    <x v="3"/>
    <x v="0"/>
    <n v="1900"/>
  </r>
  <r>
    <x v="124"/>
    <x v="0"/>
    <x v="3"/>
    <x v="2"/>
    <n v="146"/>
  </r>
  <r>
    <x v="124"/>
    <x v="0"/>
    <x v="3"/>
    <x v="4"/>
    <n v="2000"/>
  </r>
  <r>
    <x v="124"/>
    <x v="0"/>
    <x v="3"/>
    <x v="6"/>
    <n v="300"/>
  </r>
  <r>
    <x v="124"/>
    <x v="0"/>
    <x v="8"/>
    <x v="3"/>
    <n v="2600"/>
  </r>
  <r>
    <x v="124"/>
    <x v="1"/>
    <x v="2"/>
    <x v="3"/>
    <n v="1889"/>
  </r>
  <r>
    <x v="124"/>
    <x v="1"/>
    <x v="3"/>
    <x v="3"/>
    <n v="22600"/>
  </r>
  <r>
    <x v="124"/>
    <x v="1"/>
    <x v="6"/>
    <x v="3"/>
    <n v="12000"/>
  </r>
  <r>
    <x v="124"/>
    <x v="1"/>
    <x v="8"/>
    <x v="3"/>
    <n v="1624"/>
  </r>
  <r>
    <x v="124"/>
    <x v="2"/>
    <x v="2"/>
    <x v="1"/>
    <n v="89407"/>
  </r>
  <r>
    <x v="124"/>
    <x v="2"/>
    <x v="2"/>
    <x v="2"/>
    <n v="63347"/>
  </r>
  <r>
    <x v="124"/>
    <x v="2"/>
    <x v="2"/>
    <x v="4"/>
    <n v="1457"/>
  </r>
  <r>
    <x v="125"/>
    <x v="0"/>
    <x v="1"/>
    <x v="4"/>
    <n v="1500"/>
  </r>
  <r>
    <x v="125"/>
    <x v="0"/>
    <x v="2"/>
    <x v="0"/>
    <n v="81148"/>
  </r>
  <r>
    <x v="125"/>
    <x v="0"/>
    <x v="2"/>
    <x v="1"/>
    <n v="105086"/>
  </r>
  <r>
    <x v="125"/>
    <x v="0"/>
    <x v="2"/>
    <x v="2"/>
    <n v="109404"/>
  </r>
  <r>
    <x v="125"/>
    <x v="0"/>
    <x v="2"/>
    <x v="3"/>
    <n v="2850"/>
  </r>
  <r>
    <x v="125"/>
    <x v="0"/>
    <x v="2"/>
    <x v="4"/>
    <n v="250"/>
  </r>
  <r>
    <x v="125"/>
    <x v="0"/>
    <x v="2"/>
    <x v="6"/>
    <n v="250"/>
  </r>
  <r>
    <x v="125"/>
    <x v="0"/>
    <x v="6"/>
    <x v="3"/>
    <n v="500"/>
  </r>
  <r>
    <x v="125"/>
    <x v="2"/>
    <x v="1"/>
    <x v="4"/>
    <n v="70000"/>
  </r>
  <r>
    <x v="126"/>
    <x v="0"/>
    <x v="0"/>
    <x v="5"/>
    <n v="1200"/>
  </r>
  <r>
    <x v="126"/>
    <x v="0"/>
    <x v="0"/>
    <x v="0"/>
    <n v="440473"/>
  </r>
  <r>
    <x v="126"/>
    <x v="0"/>
    <x v="0"/>
    <x v="1"/>
    <n v="185928"/>
  </r>
  <r>
    <x v="126"/>
    <x v="0"/>
    <x v="0"/>
    <x v="2"/>
    <n v="211032"/>
  </r>
  <r>
    <x v="126"/>
    <x v="0"/>
    <x v="0"/>
    <x v="4"/>
    <n v="4250"/>
  </r>
  <r>
    <x v="126"/>
    <x v="0"/>
    <x v="0"/>
    <x v="6"/>
    <n v="1200"/>
  </r>
  <r>
    <x v="126"/>
    <x v="0"/>
    <x v="10"/>
    <x v="1"/>
    <n v="9996"/>
  </r>
  <r>
    <x v="126"/>
    <x v="0"/>
    <x v="10"/>
    <x v="2"/>
    <n v="993"/>
  </r>
  <r>
    <x v="126"/>
    <x v="0"/>
    <x v="1"/>
    <x v="0"/>
    <n v="1696154"/>
  </r>
  <r>
    <x v="126"/>
    <x v="0"/>
    <x v="1"/>
    <x v="1"/>
    <n v="283665"/>
  </r>
  <r>
    <x v="126"/>
    <x v="0"/>
    <x v="1"/>
    <x v="2"/>
    <n v="797627"/>
  </r>
  <r>
    <x v="126"/>
    <x v="0"/>
    <x v="1"/>
    <x v="3"/>
    <n v="6200"/>
  </r>
  <r>
    <x v="126"/>
    <x v="0"/>
    <x v="1"/>
    <x v="4"/>
    <n v="228206"/>
  </r>
  <r>
    <x v="126"/>
    <x v="0"/>
    <x v="1"/>
    <x v="6"/>
    <n v="1800"/>
  </r>
  <r>
    <x v="126"/>
    <x v="0"/>
    <x v="2"/>
    <x v="5"/>
    <n v="300"/>
  </r>
  <r>
    <x v="126"/>
    <x v="0"/>
    <x v="2"/>
    <x v="0"/>
    <n v="3515248"/>
  </r>
  <r>
    <x v="126"/>
    <x v="0"/>
    <x v="2"/>
    <x v="1"/>
    <n v="3195788"/>
  </r>
  <r>
    <x v="126"/>
    <x v="0"/>
    <x v="2"/>
    <x v="2"/>
    <n v="3427953"/>
  </r>
  <r>
    <x v="126"/>
    <x v="0"/>
    <x v="2"/>
    <x v="3"/>
    <n v="19707"/>
  </r>
  <r>
    <x v="126"/>
    <x v="0"/>
    <x v="2"/>
    <x v="6"/>
    <n v="1150"/>
  </r>
  <r>
    <x v="126"/>
    <x v="0"/>
    <x v="5"/>
    <x v="4"/>
    <n v="644507"/>
  </r>
  <r>
    <x v="126"/>
    <x v="0"/>
    <x v="3"/>
    <x v="0"/>
    <n v="30694"/>
  </r>
  <r>
    <x v="126"/>
    <x v="0"/>
    <x v="3"/>
    <x v="2"/>
    <n v="6692"/>
  </r>
  <r>
    <x v="126"/>
    <x v="0"/>
    <x v="3"/>
    <x v="3"/>
    <n v="5000"/>
  </r>
  <r>
    <x v="126"/>
    <x v="0"/>
    <x v="3"/>
    <x v="4"/>
    <n v="3000"/>
  </r>
  <r>
    <x v="126"/>
    <x v="0"/>
    <x v="3"/>
    <x v="6"/>
    <n v="1000"/>
  </r>
  <r>
    <x v="126"/>
    <x v="0"/>
    <x v="6"/>
    <x v="3"/>
    <n v="7500"/>
  </r>
  <r>
    <x v="126"/>
    <x v="0"/>
    <x v="4"/>
    <x v="0"/>
    <n v="78495"/>
  </r>
  <r>
    <x v="126"/>
    <x v="0"/>
    <x v="4"/>
    <x v="2"/>
    <n v="18261"/>
  </r>
  <r>
    <x v="126"/>
    <x v="1"/>
    <x v="1"/>
    <x v="3"/>
    <n v="69526"/>
  </r>
  <r>
    <x v="126"/>
    <x v="1"/>
    <x v="2"/>
    <x v="0"/>
    <n v="147710"/>
  </r>
  <r>
    <x v="126"/>
    <x v="1"/>
    <x v="2"/>
    <x v="2"/>
    <n v="59050"/>
  </r>
  <r>
    <x v="126"/>
    <x v="1"/>
    <x v="3"/>
    <x v="0"/>
    <n v="2336"/>
  </r>
  <r>
    <x v="126"/>
    <x v="1"/>
    <x v="3"/>
    <x v="2"/>
    <n v="544"/>
  </r>
  <r>
    <x v="126"/>
    <x v="2"/>
    <x v="2"/>
    <x v="0"/>
    <n v="1062313"/>
  </r>
  <r>
    <x v="126"/>
    <x v="2"/>
    <x v="2"/>
    <x v="1"/>
    <n v="45135"/>
  </r>
  <r>
    <x v="126"/>
    <x v="2"/>
    <x v="2"/>
    <x v="2"/>
    <n v="421172"/>
  </r>
  <r>
    <x v="126"/>
    <x v="2"/>
    <x v="3"/>
    <x v="0"/>
    <n v="17021"/>
  </r>
  <r>
    <x v="126"/>
    <x v="2"/>
    <x v="3"/>
    <x v="2"/>
    <n v="3943"/>
  </r>
  <r>
    <x v="127"/>
    <x v="0"/>
    <x v="1"/>
    <x v="4"/>
    <n v="48089"/>
  </r>
  <r>
    <x v="127"/>
    <x v="0"/>
    <x v="2"/>
    <x v="0"/>
    <n v="33821"/>
  </r>
  <r>
    <x v="127"/>
    <x v="0"/>
    <x v="2"/>
    <x v="1"/>
    <n v="103401"/>
  </r>
  <r>
    <x v="127"/>
    <x v="0"/>
    <x v="2"/>
    <x v="2"/>
    <n v="84155"/>
  </r>
  <r>
    <x v="127"/>
    <x v="0"/>
    <x v="2"/>
    <x v="3"/>
    <n v="2300"/>
  </r>
  <r>
    <x v="127"/>
    <x v="0"/>
    <x v="8"/>
    <x v="3"/>
    <n v="1000"/>
  </r>
  <r>
    <x v="127"/>
    <x v="2"/>
    <x v="1"/>
    <x v="4"/>
    <n v="12887"/>
  </r>
  <r>
    <x v="127"/>
    <x v="2"/>
    <x v="2"/>
    <x v="0"/>
    <n v="27876"/>
  </r>
  <r>
    <x v="127"/>
    <x v="2"/>
    <x v="2"/>
    <x v="2"/>
    <n v="12122"/>
  </r>
  <r>
    <x v="128"/>
    <x v="0"/>
    <x v="0"/>
    <x v="1"/>
    <n v="21091"/>
  </r>
  <r>
    <x v="128"/>
    <x v="0"/>
    <x v="0"/>
    <x v="2"/>
    <n v="10368"/>
  </r>
  <r>
    <x v="128"/>
    <x v="0"/>
    <x v="0"/>
    <x v="3"/>
    <n v="300"/>
  </r>
  <r>
    <x v="128"/>
    <x v="0"/>
    <x v="1"/>
    <x v="0"/>
    <n v="58120"/>
  </r>
  <r>
    <x v="128"/>
    <x v="0"/>
    <x v="1"/>
    <x v="2"/>
    <n v="21205"/>
  </r>
  <r>
    <x v="128"/>
    <x v="0"/>
    <x v="1"/>
    <x v="4"/>
    <n v="78000"/>
  </r>
  <r>
    <x v="128"/>
    <x v="0"/>
    <x v="2"/>
    <x v="0"/>
    <n v="148877"/>
  </r>
  <r>
    <x v="128"/>
    <x v="0"/>
    <x v="2"/>
    <x v="1"/>
    <n v="184018"/>
  </r>
  <r>
    <x v="128"/>
    <x v="0"/>
    <x v="2"/>
    <x v="2"/>
    <n v="161057"/>
  </r>
  <r>
    <x v="128"/>
    <x v="0"/>
    <x v="2"/>
    <x v="3"/>
    <n v="7000"/>
  </r>
  <r>
    <x v="128"/>
    <x v="0"/>
    <x v="2"/>
    <x v="4"/>
    <n v="6850"/>
  </r>
  <r>
    <x v="128"/>
    <x v="0"/>
    <x v="2"/>
    <x v="6"/>
    <n v="500"/>
  </r>
  <r>
    <x v="128"/>
    <x v="0"/>
    <x v="3"/>
    <x v="0"/>
    <n v="1534"/>
  </r>
  <r>
    <x v="128"/>
    <x v="2"/>
    <x v="1"/>
    <x v="0"/>
    <n v="24908"/>
  </r>
  <r>
    <x v="128"/>
    <x v="2"/>
    <x v="1"/>
    <x v="2"/>
    <n v="9088"/>
  </r>
  <r>
    <x v="129"/>
    <x v="0"/>
    <x v="2"/>
    <x v="0"/>
    <n v="40512"/>
  </r>
  <r>
    <x v="129"/>
    <x v="0"/>
    <x v="2"/>
    <x v="1"/>
    <n v="17174"/>
  </r>
  <r>
    <x v="129"/>
    <x v="0"/>
    <x v="2"/>
    <x v="2"/>
    <n v="18681"/>
  </r>
  <r>
    <x v="129"/>
    <x v="0"/>
    <x v="2"/>
    <x v="3"/>
    <n v="500"/>
  </r>
  <r>
    <x v="129"/>
    <x v="0"/>
    <x v="2"/>
    <x v="4"/>
    <n v="1550"/>
  </r>
  <r>
    <x v="129"/>
    <x v="0"/>
    <x v="3"/>
    <x v="4"/>
    <n v="15300"/>
  </r>
  <r>
    <x v="129"/>
    <x v="0"/>
    <x v="6"/>
    <x v="4"/>
    <n v="1200"/>
  </r>
  <r>
    <x v="129"/>
    <x v="2"/>
    <x v="2"/>
    <x v="0"/>
    <n v="2894"/>
  </r>
  <r>
    <x v="129"/>
    <x v="2"/>
    <x v="2"/>
    <x v="2"/>
    <n v="679"/>
  </r>
  <r>
    <x v="129"/>
    <x v="2"/>
    <x v="2"/>
    <x v="4"/>
    <n v="3450"/>
  </r>
  <r>
    <x v="130"/>
    <x v="0"/>
    <x v="5"/>
    <x v="4"/>
    <n v="353455"/>
  </r>
  <r>
    <x v="131"/>
    <x v="0"/>
    <x v="0"/>
    <x v="0"/>
    <n v="163083"/>
  </r>
  <r>
    <x v="131"/>
    <x v="0"/>
    <x v="0"/>
    <x v="1"/>
    <n v="99602"/>
  </r>
  <r>
    <x v="131"/>
    <x v="0"/>
    <x v="0"/>
    <x v="2"/>
    <n v="97422"/>
  </r>
  <r>
    <x v="131"/>
    <x v="0"/>
    <x v="0"/>
    <x v="3"/>
    <n v="10000"/>
  </r>
  <r>
    <x v="131"/>
    <x v="0"/>
    <x v="7"/>
    <x v="3"/>
    <n v="1000"/>
  </r>
  <r>
    <x v="131"/>
    <x v="0"/>
    <x v="1"/>
    <x v="0"/>
    <n v="1232432"/>
  </r>
  <r>
    <x v="131"/>
    <x v="0"/>
    <x v="1"/>
    <x v="1"/>
    <n v="142847"/>
  </r>
  <r>
    <x v="131"/>
    <x v="0"/>
    <x v="1"/>
    <x v="2"/>
    <n v="532596"/>
  </r>
  <r>
    <x v="131"/>
    <x v="0"/>
    <x v="1"/>
    <x v="3"/>
    <n v="300000"/>
  </r>
  <r>
    <x v="131"/>
    <x v="0"/>
    <x v="2"/>
    <x v="5"/>
    <n v="1000"/>
  </r>
  <r>
    <x v="131"/>
    <x v="0"/>
    <x v="2"/>
    <x v="0"/>
    <n v="1769529"/>
  </r>
  <r>
    <x v="131"/>
    <x v="0"/>
    <x v="2"/>
    <x v="1"/>
    <n v="1308748"/>
  </r>
  <r>
    <x v="131"/>
    <x v="0"/>
    <x v="2"/>
    <x v="2"/>
    <n v="1515715"/>
  </r>
  <r>
    <x v="131"/>
    <x v="0"/>
    <x v="2"/>
    <x v="3"/>
    <n v="250000"/>
  </r>
  <r>
    <x v="131"/>
    <x v="0"/>
    <x v="3"/>
    <x v="0"/>
    <n v="178525"/>
  </r>
  <r>
    <x v="131"/>
    <x v="0"/>
    <x v="3"/>
    <x v="2"/>
    <n v="39445"/>
  </r>
  <r>
    <x v="131"/>
    <x v="0"/>
    <x v="3"/>
    <x v="3"/>
    <n v="15000"/>
  </r>
  <r>
    <x v="131"/>
    <x v="0"/>
    <x v="6"/>
    <x v="3"/>
    <n v="45000"/>
  </r>
  <r>
    <x v="131"/>
    <x v="0"/>
    <x v="8"/>
    <x v="3"/>
    <n v="2500"/>
  </r>
  <r>
    <x v="131"/>
    <x v="2"/>
    <x v="1"/>
    <x v="0"/>
    <n v="144903"/>
  </r>
  <r>
    <x v="131"/>
    <x v="2"/>
    <x v="1"/>
    <x v="2"/>
    <n v="58028"/>
  </r>
  <r>
    <x v="131"/>
    <x v="2"/>
    <x v="2"/>
    <x v="0"/>
    <n v="131632"/>
  </r>
  <r>
    <x v="131"/>
    <x v="2"/>
    <x v="2"/>
    <x v="1"/>
    <n v="278922"/>
  </r>
  <r>
    <x v="131"/>
    <x v="2"/>
    <x v="2"/>
    <x v="2"/>
    <n v="238912"/>
  </r>
  <r>
    <x v="131"/>
    <x v="2"/>
    <x v="2"/>
    <x v="4"/>
    <n v="150000"/>
  </r>
  <r>
    <x v="131"/>
    <x v="2"/>
    <x v="3"/>
    <x v="0"/>
    <n v="11163"/>
  </r>
  <r>
    <x v="131"/>
    <x v="2"/>
    <x v="3"/>
    <x v="2"/>
    <n v="2539"/>
  </r>
  <r>
    <x v="132"/>
    <x v="0"/>
    <x v="0"/>
    <x v="0"/>
    <n v="54004"/>
  </r>
  <r>
    <x v="132"/>
    <x v="0"/>
    <x v="0"/>
    <x v="1"/>
    <n v="31051"/>
  </r>
  <r>
    <x v="132"/>
    <x v="0"/>
    <x v="0"/>
    <x v="2"/>
    <n v="33475"/>
  </r>
  <r>
    <x v="132"/>
    <x v="0"/>
    <x v="0"/>
    <x v="3"/>
    <n v="500"/>
  </r>
  <r>
    <x v="132"/>
    <x v="0"/>
    <x v="0"/>
    <x v="4"/>
    <n v="7500"/>
  </r>
  <r>
    <x v="132"/>
    <x v="0"/>
    <x v="0"/>
    <x v="6"/>
    <n v="500"/>
  </r>
  <r>
    <x v="132"/>
    <x v="0"/>
    <x v="9"/>
    <x v="3"/>
    <n v="500"/>
  </r>
  <r>
    <x v="132"/>
    <x v="0"/>
    <x v="9"/>
    <x v="4"/>
    <n v="2500"/>
  </r>
  <r>
    <x v="132"/>
    <x v="0"/>
    <x v="1"/>
    <x v="3"/>
    <n v="500"/>
  </r>
  <r>
    <x v="132"/>
    <x v="0"/>
    <x v="1"/>
    <x v="4"/>
    <n v="309730"/>
  </r>
  <r>
    <x v="132"/>
    <x v="0"/>
    <x v="2"/>
    <x v="0"/>
    <n v="246270"/>
  </r>
  <r>
    <x v="132"/>
    <x v="0"/>
    <x v="2"/>
    <x v="1"/>
    <n v="108546"/>
  </r>
  <r>
    <x v="132"/>
    <x v="0"/>
    <x v="2"/>
    <x v="2"/>
    <n v="107500"/>
  </r>
  <r>
    <x v="132"/>
    <x v="0"/>
    <x v="2"/>
    <x v="3"/>
    <n v="2500"/>
  </r>
  <r>
    <x v="132"/>
    <x v="0"/>
    <x v="2"/>
    <x v="4"/>
    <n v="72760"/>
  </r>
  <r>
    <x v="132"/>
    <x v="0"/>
    <x v="3"/>
    <x v="4"/>
    <n v="6600"/>
  </r>
  <r>
    <x v="132"/>
    <x v="0"/>
    <x v="3"/>
    <x v="6"/>
    <n v="200"/>
  </r>
  <r>
    <x v="132"/>
    <x v="0"/>
    <x v="6"/>
    <x v="3"/>
    <n v="35000"/>
  </r>
  <r>
    <x v="132"/>
    <x v="0"/>
    <x v="8"/>
    <x v="2"/>
    <n v="2000"/>
  </r>
  <r>
    <x v="132"/>
    <x v="2"/>
    <x v="2"/>
    <x v="1"/>
    <n v="132136"/>
  </r>
  <r>
    <x v="132"/>
    <x v="2"/>
    <x v="2"/>
    <x v="2"/>
    <n v="88162"/>
  </r>
  <r>
    <x v="133"/>
    <x v="0"/>
    <x v="0"/>
    <x v="0"/>
    <n v="1000"/>
  </r>
  <r>
    <x v="133"/>
    <x v="0"/>
    <x v="0"/>
    <x v="2"/>
    <n v="225"/>
  </r>
  <r>
    <x v="133"/>
    <x v="0"/>
    <x v="2"/>
    <x v="0"/>
    <n v="68541"/>
  </r>
  <r>
    <x v="133"/>
    <x v="0"/>
    <x v="2"/>
    <x v="1"/>
    <n v="10017"/>
  </r>
  <r>
    <x v="133"/>
    <x v="0"/>
    <x v="2"/>
    <x v="2"/>
    <n v="33681"/>
  </r>
  <r>
    <x v="133"/>
    <x v="0"/>
    <x v="2"/>
    <x v="3"/>
    <n v="1500"/>
  </r>
  <r>
    <x v="133"/>
    <x v="0"/>
    <x v="2"/>
    <x v="4"/>
    <n v="1100"/>
  </r>
  <r>
    <x v="133"/>
    <x v="0"/>
    <x v="2"/>
    <x v="6"/>
    <n v="500"/>
  </r>
  <r>
    <x v="133"/>
    <x v="0"/>
    <x v="8"/>
    <x v="3"/>
    <n v="500"/>
  </r>
  <r>
    <x v="134"/>
    <x v="0"/>
    <x v="0"/>
    <x v="0"/>
    <n v="49625"/>
  </r>
  <r>
    <x v="134"/>
    <x v="0"/>
    <x v="0"/>
    <x v="1"/>
    <n v="10673"/>
  </r>
  <r>
    <x v="134"/>
    <x v="0"/>
    <x v="0"/>
    <x v="2"/>
    <n v="20798"/>
  </r>
  <r>
    <x v="134"/>
    <x v="0"/>
    <x v="1"/>
    <x v="0"/>
    <n v="89776"/>
  </r>
  <r>
    <x v="134"/>
    <x v="0"/>
    <x v="1"/>
    <x v="2"/>
    <n v="32912"/>
  </r>
  <r>
    <x v="134"/>
    <x v="0"/>
    <x v="1"/>
    <x v="4"/>
    <n v="116200"/>
  </r>
  <r>
    <x v="134"/>
    <x v="0"/>
    <x v="2"/>
    <x v="0"/>
    <n v="253072"/>
  </r>
  <r>
    <x v="134"/>
    <x v="0"/>
    <x v="2"/>
    <x v="1"/>
    <n v="113092"/>
  </r>
  <r>
    <x v="134"/>
    <x v="0"/>
    <x v="2"/>
    <x v="2"/>
    <n v="172099"/>
  </r>
  <r>
    <x v="134"/>
    <x v="0"/>
    <x v="2"/>
    <x v="3"/>
    <n v="2000"/>
  </r>
  <r>
    <x v="134"/>
    <x v="0"/>
    <x v="3"/>
    <x v="0"/>
    <n v="5784"/>
  </r>
  <r>
    <x v="134"/>
    <x v="0"/>
    <x v="3"/>
    <x v="2"/>
    <n v="1332"/>
  </r>
  <r>
    <x v="134"/>
    <x v="0"/>
    <x v="4"/>
    <x v="0"/>
    <n v="6802"/>
  </r>
  <r>
    <x v="134"/>
    <x v="0"/>
    <x v="4"/>
    <x v="2"/>
    <n v="1682"/>
  </r>
  <r>
    <x v="134"/>
    <x v="2"/>
    <x v="0"/>
    <x v="3"/>
    <n v="2000"/>
  </r>
  <r>
    <x v="134"/>
    <x v="2"/>
    <x v="2"/>
    <x v="1"/>
    <n v="90685"/>
  </r>
  <r>
    <x v="134"/>
    <x v="2"/>
    <x v="2"/>
    <x v="2"/>
    <n v="57333"/>
  </r>
  <r>
    <x v="134"/>
    <x v="2"/>
    <x v="2"/>
    <x v="3"/>
    <n v="14297"/>
  </r>
  <r>
    <x v="134"/>
    <x v="2"/>
    <x v="3"/>
    <x v="4"/>
    <n v="500"/>
  </r>
  <r>
    <x v="134"/>
    <x v="2"/>
    <x v="3"/>
    <x v="6"/>
    <n v="540"/>
  </r>
  <r>
    <x v="134"/>
    <x v="2"/>
    <x v="6"/>
    <x v="7"/>
    <n v="2000"/>
  </r>
  <r>
    <x v="135"/>
    <x v="0"/>
    <x v="2"/>
    <x v="0"/>
    <n v="70026"/>
  </r>
  <r>
    <x v="135"/>
    <x v="0"/>
    <x v="2"/>
    <x v="1"/>
    <n v="51559"/>
  </r>
  <r>
    <x v="135"/>
    <x v="0"/>
    <x v="2"/>
    <x v="2"/>
    <n v="62649"/>
  </r>
  <r>
    <x v="135"/>
    <x v="0"/>
    <x v="2"/>
    <x v="3"/>
    <n v="1000"/>
  </r>
  <r>
    <x v="135"/>
    <x v="0"/>
    <x v="2"/>
    <x v="4"/>
    <n v="2200000"/>
  </r>
  <r>
    <x v="135"/>
    <x v="0"/>
    <x v="5"/>
    <x v="4"/>
    <n v="85000"/>
  </r>
  <r>
    <x v="135"/>
    <x v="0"/>
    <x v="3"/>
    <x v="0"/>
    <n v="1470"/>
  </r>
  <r>
    <x v="135"/>
    <x v="0"/>
    <x v="3"/>
    <x v="2"/>
    <n v="348"/>
  </r>
  <r>
    <x v="135"/>
    <x v="0"/>
    <x v="8"/>
    <x v="3"/>
    <n v="1500"/>
  </r>
  <r>
    <x v="135"/>
    <x v="0"/>
    <x v="4"/>
    <x v="0"/>
    <n v="1102"/>
  </r>
  <r>
    <x v="135"/>
    <x v="0"/>
    <x v="4"/>
    <x v="2"/>
    <n v="261"/>
  </r>
  <r>
    <x v="135"/>
    <x v="2"/>
    <x v="1"/>
    <x v="4"/>
    <n v="195581"/>
  </r>
  <r>
    <x v="135"/>
    <x v="2"/>
    <x v="2"/>
    <x v="3"/>
    <n v="10571"/>
  </r>
  <r>
    <x v="135"/>
    <x v="2"/>
    <x v="2"/>
    <x v="4"/>
    <n v="10571"/>
  </r>
  <r>
    <x v="136"/>
    <x v="0"/>
    <x v="0"/>
    <x v="0"/>
    <n v="3165"/>
  </r>
  <r>
    <x v="136"/>
    <x v="0"/>
    <x v="0"/>
    <x v="2"/>
    <n v="13027"/>
  </r>
  <r>
    <x v="136"/>
    <x v="0"/>
    <x v="0"/>
    <x v="3"/>
    <n v="100000"/>
  </r>
  <r>
    <x v="136"/>
    <x v="0"/>
    <x v="0"/>
    <x v="4"/>
    <n v="37500"/>
  </r>
  <r>
    <x v="136"/>
    <x v="0"/>
    <x v="10"/>
    <x v="3"/>
    <n v="450"/>
  </r>
  <r>
    <x v="136"/>
    <x v="0"/>
    <x v="1"/>
    <x v="3"/>
    <n v="7000"/>
  </r>
  <r>
    <x v="136"/>
    <x v="0"/>
    <x v="1"/>
    <x v="4"/>
    <n v="166807"/>
  </r>
  <r>
    <x v="136"/>
    <x v="0"/>
    <x v="2"/>
    <x v="0"/>
    <n v="166534"/>
  </r>
  <r>
    <x v="136"/>
    <x v="0"/>
    <x v="2"/>
    <x v="1"/>
    <n v="80139"/>
  </r>
  <r>
    <x v="136"/>
    <x v="0"/>
    <x v="2"/>
    <x v="2"/>
    <n v="128509"/>
  </r>
  <r>
    <x v="136"/>
    <x v="0"/>
    <x v="2"/>
    <x v="3"/>
    <n v="11000"/>
  </r>
  <r>
    <x v="136"/>
    <x v="0"/>
    <x v="2"/>
    <x v="4"/>
    <n v="2000"/>
  </r>
  <r>
    <x v="136"/>
    <x v="0"/>
    <x v="3"/>
    <x v="3"/>
    <n v="1327"/>
  </r>
  <r>
    <x v="136"/>
    <x v="0"/>
    <x v="3"/>
    <x v="6"/>
    <n v="5000"/>
  </r>
  <r>
    <x v="136"/>
    <x v="2"/>
    <x v="1"/>
    <x v="4"/>
    <n v="20000"/>
  </r>
  <r>
    <x v="136"/>
    <x v="2"/>
    <x v="2"/>
    <x v="1"/>
    <n v="23954"/>
  </r>
  <r>
    <x v="136"/>
    <x v="2"/>
    <x v="2"/>
    <x v="2"/>
    <n v="18533"/>
  </r>
  <r>
    <x v="136"/>
    <x v="2"/>
    <x v="2"/>
    <x v="3"/>
    <n v="30000"/>
  </r>
  <r>
    <x v="136"/>
    <x v="2"/>
    <x v="2"/>
    <x v="4"/>
    <n v="36651"/>
  </r>
  <r>
    <x v="136"/>
    <x v="3"/>
    <x v="2"/>
    <x v="4"/>
    <n v="1000"/>
  </r>
  <r>
    <x v="137"/>
    <x v="0"/>
    <x v="0"/>
    <x v="5"/>
    <n v="9521"/>
  </r>
  <r>
    <x v="137"/>
    <x v="0"/>
    <x v="0"/>
    <x v="0"/>
    <n v="389365"/>
  </r>
  <r>
    <x v="137"/>
    <x v="0"/>
    <x v="0"/>
    <x v="1"/>
    <n v="266400"/>
  </r>
  <r>
    <x v="137"/>
    <x v="0"/>
    <x v="0"/>
    <x v="2"/>
    <n v="220267"/>
  </r>
  <r>
    <x v="137"/>
    <x v="0"/>
    <x v="0"/>
    <x v="3"/>
    <n v="6000"/>
  </r>
  <r>
    <x v="137"/>
    <x v="0"/>
    <x v="0"/>
    <x v="4"/>
    <n v="2300"/>
  </r>
  <r>
    <x v="137"/>
    <x v="0"/>
    <x v="9"/>
    <x v="5"/>
    <n v="10"/>
  </r>
  <r>
    <x v="137"/>
    <x v="0"/>
    <x v="9"/>
    <x v="0"/>
    <n v="403056"/>
  </r>
  <r>
    <x v="137"/>
    <x v="0"/>
    <x v="9"/>
    <x v="2"/>
    <n v="125538"/>
  </r>
  <r>
    <x v="137"/>
    <x v="0"/>
    <x v="9"/>
    <x v="3"/>
    <n v="210"/>
  </r>
  <r>
    <x v="137"/>
    <x v="0"/>
    <x v="9"/>
    <x v="4"/>
    <n v="100"/>
  </r>
  <r>
    <x v="137"/>
    <x v="0"/>
    <x v="9"/>
    <x v="6"/>
    <n v="150"/>
  </r>
  <r>
    <x v="137"/>
    <x v="0"/>
    <x v="7"/>
    <x v="1"/>
    <n v="57635"/>
  </r>
  <r>
    <x v="137"/>
    <x v="0"/>
    <x v="7"/>
    <x v="2"/>
    <n v="28351"/>
  </r>
  <r>
    <x v="137"/>
    <x v="0"/>
    <x v="7"/>
    <x v="3"/>
    <n v="5500"/>
  </r>
  <r>
    <x v="137"/>
    <x v="0"/>
    <x v="7"/>
    <x v="4"/>
    <n v="1500"/>
  </r>
  <r>
    <x v="137"/>
    <x v="0"/>
    <x v="1"/>
    <x v="5"/>
    <n v="65"/>
  </r>
  <r>
    <x v="137"/>
    <x v="0"/>
    <x v="1"/>
    <x v="0"/>
    <n v="5148888"/>
  </r>
  <r>
    <x v="137"/>
    <x v="0"/>
    <x v="1"/>
    <x v="1"/>
    <n v="67462"/>
  </r>
  <r>
    <x v="137"/>
    <x v="0"/>
    <x v="1"/>
    <x v="2"/>
    <n v="1797027"/>
  </r>
  <r>
    <x v="137"/>
    <x v="0"/>
    <x v="1"/>
    <x v="3"/>
    <n v="41000"/>
  </r>
  <r>
    <x v="137"/>
    <x v="0"/>
    <x v="1"/>
    <x v="4"/>
    <n v="519141"/>
  </r>
  <r>
    <x v="137"/>
    <x v="0"/>
    <x v="1"/>
    <x v="6"/>
    <n v="1400"/>
  </r>
  <r>
    <x v="137"/>
    <x v="0"/>
    <x v="2"/>
    <x v="5"/>
    <n v="10700"/>
  </r>
  <r>
    <x v="137"/>
    <x v="0"/>
    <x v="2"/>
    <x v="0"/>
    <n v="8471154"/>
  </r>
  <r>
    <x v="137"/>
    <x v="0"/>
    <x v="2"/>
    <x v="1"/>
    <n v="1380557"/>
  </r>
  <r>
    <x v="137"/>
    <x v="0"/>
    <x v="2"/>
    <x v="2"/>
    <n v="3765815"/>
  </r>
  <r>
    <x v="137"/>
    <x v="0"/>
    <x v="2"/>
    <x v="3"/>
    <n v="95964"/>
  </r>
  <r>
    <x v="137"/>
    <x v="0"/>
    <x v="2"/>
    <x v="4"/>
    <n v="787091"/>
  </r>
  <r>
    <x v="137"/>
    <x v="0"/>
    <x v="2"/>
    <x v="6"/>
    <n v="196"/>
  </r>
  <r>
    <x v="137"/>
    <x v="0"/>
    <x v="3"/>
    <x v="0"/>
    <n v="1099"/>
  </r>
  <r>
    <x v="137"/>
    <x v="0"/>
    <x v="3"/>
    <x v="2"/>
    <n v="244"/>
  </r>
  <r>
    <x v="137"/>
    <x v="0"/>
    <x v="3"/>
    <x v="4"/>
    <n v="20055"/>
  </r>
  <r>
    <x v="137"/>
    <x v="0"/>
    <x v="4"/>
    <x v="0"/>
    <n v="210414"/>
  </r>
  <r>
    <x v="137"/>
    <x v="0"/>
    <x v="4"/>
    <x v="2"/>
    <n v="45609"/>
  </r>
  <r>
    <x v="137"/>
    <x v="1"/>
    <x v="2"/>
    <x v="0"/>
    <n v="83243"/>
  </r>
  <r>
    <x v="137"/>
    <x v="1"/>
    <x v="2"/>
    <x v="1"/>
    <n v="36654"/>
  </r>
  <r>
    <x v="137"/>
    <x v="1"/>
    <x v="2"/>
    <x v="2"/>
    <n v="40911"/>
  </r>
  <r>
    <x v="137"/>
    <x v="1"/>
    <x v="2"/>
    <x v="3"/>
    <n v="13753"/>
  </r>
  <r>
    <x v="137"/>
    <x v="2"/>
    <x v="0"/>
    <x v="0"/>
    <n v="145640"/>
  </r>
  <r>
    <x v="137"/>
    <x v="2"/>
    <x v="0"/>
    <x v="2"/>
    <n v="25903"/>
  </r>
  <r>
    <x v="137"/>
    <x v="2"/>
    <x v="2"/>
    <x v="1"/>
    <n v="1544048"/>
  </r>
  <r>
    <x v="137"/>
    <x v="2"/>
    <x v="2"/>
    <x v="2"/>
    <n v="640121"/>
  </r>
  <r>
    <x v="137"/>
    <x v="2"/>
    <x v="2"/>
    <x v="4"/>
    <n v="520352"/>
  </r>
  <r>
    <x v="137"/>
    <x v="2"/>
    <x v="5"/>
    <x v="4"/>
    <n v="182530"/>
  </r>
  <r>
    <x v="137"/>
    <x v="2"/>
    <x v="3"/>
    <x v="0"/>
    <n v="1200"/>
  </r>
  <r>
    <x v="137"/>
    <x v="2"/>
    <x v="3"/>
    <x v="2"/>
    <n v="259"/>
  </r>
  <r>
    <x v="137"/>
    <x v="2"/>
    <x v="3"/>
    <x v="3"/>
    <n v="826"/>
  </r>
  <r>
    <x v="137"/>
    <x v="2"/>
    <x v="3"/>
    <x v="4"/>
    <n v="112863"/>
  </r>
  <r>
    <x v="137"/>
    <x v="2"/>
    <x v="8"/>
    <x v="3"/>
    <n v="4817"/>
  </r>
  <r>
    <x v="137"/>
    <x v="3"/>
    <x v="2"/>
    <x v="1"/>
    <n v="46463"/>
  </r>
  <r>
    <x v="137"/>
    <x v="3"/>
    <x v="2"/>
    <x v="2"/>
    <n v="28389"/>
  </r>
  <r>
    <x v="137"/>
    <x v="3"/>
    <x v="2"/>
    <x v="3"/>
    <n v="112221"/>
  </r>
  <r>
    <x v="138"/>
    <x v="0"/>
    <x v="0"/>
    <x v="1"/>
    <n v="23537"/>
  </r>
  <r>
    <x v="138"/>
    <x v="0"/>
    <x v="0"/>
    <x v="2"/>
    <n v="11168"/>
  </r>
  <r>
    <x v="138"/>
    <x v="0"/>
    <x v="1"/>
    <x v="4"/>
    <n v="170000"/>
  </r>
  <r>
    <x v="138"/>
    <x v="0"/>
    <x v="2"/>
    <x v="0"/>
    <n v="173082"/>
  </r>
  <r>
    <x v="138"/>
    <x v="0"/>
    <x v="2"/>
    <x v="1"/>
    <n v="157697"/>
  </r>
  <r>
    <x v="138"/>
    <x v="0"/>
    <x v="2"/>
    <x v="2"/>
    <n v="155834"/>
  </r>
  <r>
    <x v="138"/>
    <x v="0"/>
    <x v="2"/>
    <x v="3"/>
    <n v="1250"/>
  </r>
  <r>
    <x v="138"/>
    <x v="0"/>
    <x v="2"/>
    <x v="4"/>
    <n v="5000"/>
  </r>
  <r>
    <x v="138"/>
    <x v="2"/>
    <x v="1"/>
    <x v="4"/>
    <n v="57250"/>
  </r>
  <r>
    <x v="138"/>
    <x v="2"/>
    <x v="2"/>
    <x v="1"/>
    <n v="2223"/>
  </r>
  <r>
    <x v="138"/>
    <x v="2"/>
    <x v="2"/>
    <x v="2"/>
    <n v="1331"/>
  </r>
  <r>
    <x v="138"/>
    <x v="2"/>
    <x v="2"/>
    <x v="3"/>
    <n v="10"/>
  </r>
  <r>
    <x v="139"/>
    <x v="0"/>
    <x v="0"/>
    <x v="0"/>
    <n v="148124"/>
  </r>
  <r>
    <x v="139"/>
    <x v="0"/>
    <x v="0"/>
    <x v="1"/>
    <n v="7532"/>
  </r>
  <r>
    <x v="139"/>
    <x v="0"/>
    <x v="0"/>
    <x v="2"/>
    <n v="47968"/>
  </r>
  <r>
    <x v="139"/>
    <x v="0"/>
    <x v="0"/>
    <x v="3"/>
    <n v="24300"/>
  </r>
  <r>
    <x v="139"/>
    <x v="0"/>
    <x v="0"/>
    <x v="4"/>
    <n v="16000"/>
  </r>
  <r>
    <x v="139"/>
    <x v="0"/>
    <x v="9"/>
    <x v="0"/>
    <n v="56155"/>
  </r>
  <r>
    <x v="139"/>
    <x v="0"/>
    <x v="9"/>
    <x v="2"/>
    <n v="12469"/>
  </r>
  <r>
    <x v="139"/>
    <x v="0"/>
    <x v="9"/>
    <x v="3"/>
    <n v="1700"/>
  </r>
  <r>
    <x v="139"/>
    <x v="0"/>
    <x v="1"/>
    <x v="0"/>
    <n v="3612678"/>
  </r>
  <r>
    <x v="139"/>
    <x v="0"/>
    <x v="1"/>
    <x v="1"/>
    <n v="142068"/>
  </r>
  <r>
    <x v="139"/>
    <x v="0"/>
    <x v="1"/>
    <x v="2"/>
    <n v="1388547"/>
  </r>
  <r>
    <x v="139"/>
    <x v="0"/>
    <x v="1"/>
    <x v="3"/>
    <n v="19750"/>
  </r>
  <r>
    <x v="139"/>
    <x v="0"/>
    <x v="1"/>
    <x v="4"/>
    <n v="1000"/>
  </r>
  <r>
    <x v="139"/>
    <x v="0"/>
    <x v="1"/>
    <x v="6"/>
    <n v="4750"/>
  </r>
  <r>
    <x v="139"/>
    <x v="0"/>
    <x v="2"/>
    <x v="5"/>
    <n v="230"/>
  </r>
  <r>
    <x v="139"/>
    <x v="0"/>
    <x v="2"/>
    <x v="0"/>
    <n v="5361379"/>
  </r>
  <r>
    <x v="139"/>
    <x v="0"/>
    <x v="2"/>
    <x v="1"/>
    <n v="3452908"/>
  </r>
  <r>
    <x v="139"/>
    <x v="0"/>
    <x v="2"/>
    <x v="2"/>
    <n v="4367040"/>
  </r>
  <r>
    <x v="139"/>
    <x v="0"/>
    <x v="2"/>
    <x v="3"/>
    <n v="42984"/>
  </r>
  <r>
    <x v="139"/>
    <x v="0"/>
    <x v="2"/>
    <x v="4"/>
    <n v="380000"/>
  </r>
  <r>
    <x v="139"/>
    <x v="0"/>
    <x v="2"/>
    <x v="6"/>
    <n v="4500"/>
  </r>
  <r>
    <x v="139"/>
    <x v="0"/>
    <x v="3"/>
    <x v="0"/>
    <n v="3391"/>
  </r>
  <r>
    <x v="139"/>
    <x v="0"/>
    <x v="3"/>
    <x v="2"/>
    <n v="-5223"/>
  </r>
  <r>
    <x v="139"/>
    <x v="0"/>
    <x v="3"/>
    <x v="3"/>
    <n v="5000"/>
  </r>
  <r>
    <x v="139"/>
    <x v="0"/>
    <x v="3"/>
    <x v="4"/>
    <n v="1500"/>
  </r>
  <r>
    <x v="139"/>
    <x v="0"/>
    <x v="6"/>
    <x v="1"/>
    <n v="1500"/>
  </r>
  <r>
    <x v="139"/>
    <x v="0"/>
    <x v="6"/>
    <x v="2"/>
    <n v="288"/>
  </r>
  <r>
    <x v="139"/>
    <x v="0"/>
    <x v="6"/>
    <x v="3"/>
    <n v="15000"/>
  </r>
  <r>
    <x v="139"/>
    <x v="0"/>
    <x v="8"/>
    <x v="3"/>
    <n v="65250"/>
  </r>
  <r>
    <x v="139"/>
    <x v="0"/>
    <x v="4"/>
    <x v="0"/>
    <n v="156902"/>
  </r>
  <r>
    <x v="139"/>
    <x v="0"/>
    <x v="4"/>
    <x v="2"/>
    <n v="56201"/>
  </r>
  <r>
    <x v="139"/>
    <x v="2"/>
    <x v="0"/>
    <x v="1"/>
    <n v="206736"/>
  </r>
  <r>
    <x v="139"/>
    <x v="2"/>
    <x v="0"/>
    <x v="2"/>
    <n v="92319"/>
  </r>
  <r>
    <x v="139"/>
    <x v="2"/>
    <x v="9"/>
    <x v="0"/>
    <n v="490393"/>
  </r>
  <r>
    <x v="139"/>
    <x v="2"/>
    <x v="9"/>
    <x v="2"/>
    <n v="171526"/>
  </r>
  <r>
    <x v="139"/>
    <x v="2"/>
    <x v="1"/>
    <x v="0"/>
    <n v="104069"/>
  </r>
  <r>
    <x v="139"/>
    <x v="2"/>
    <x v="1"/>
    <x v="2"/>
    <n v="35254"/>
  </r>
  <r>
    <x v="139"/>
    <x v="2"/>
    <x v="2"/>
    <x v="0"/>
    <n v="452183"/>
  </r>
  <r>
    <x v="139"/>
    <x v="2"/>
    <x v="2"/>
    <x v="1"/>
    <n v="22082"/>
  </r>
  <r>
    <x v="139"/>
    <x v="2"/>
    <x v="2"/>
    <x v="2"/>
    <n v="173833"/>
  </r>
  <r>
    <x v="139"/>
    <x v="2"/>
    <x v="2"/>
    <x v="3"/>
    <n v="36381"/>
  </r>
  <r>
    <x v="139"/>
    <x v="2"/>
    <x v="3"/>
    <x v="0"/>
    <n v="18259"/>
  </r>
  <r>
    <x v="139"/>
    <x v="2"/>
    <x v="3"/>
    <x v="2"/>
    <n v="5631"/>
  </r>
  <r>
    <x v="139"/>
    <x v="2"/>
    <x v="6"/>
    <x v="1"/>
    <n v="31624"/>
  </r>
  <r>
    <x v="139"/>
    <x v="2"/>
    <x v="6"/>
    <x v="2"/>
    <n v="19613"/>
  </r>
  <r>
    <x v="140"/>
    <x v="0"/>
    <x v="0"/>
    <x v="0"/>
    <n v="114204"/>
  </r>
  <r>
    <x v="140"/>
    <x v="0"/>
    <x v="0"/>
    <x v="1"/>
    <n v="60699"/>
  </r>
  <r>
    <x v="140"/>
    <x v="0"/>
    <x v="0"/>
    <x v="2"/>
    <n v="61380"/>
  </r>
  <r>
    <x v="140"/>
    <x v="0"/>
    <x v="0"/>
    <x v="3"/>
    <n v="1500"/>
  </r>
  <r>
    <x v="140"/>
    <x v="0"/>
    <x v="0"/>
    <x v="4"/>
    <n v="7000"/>
  </r>
  <r>
    <x v="140"/>
    <x v="0"/>
    <x v="0"/>
    <x v="6"/>
    <n v="2000"/>
  </r>
  <r>
    <x v="140"/>
    <x v="0"/>
    <x v="1"/>
    <x v="0"/>
    <n v="455842"/>
  </r>
  <r>
    <x v="140"/>
    <x v="0"/>
    <x v="1"/>
    <x v="1"/>
    <n v="40470"/>
  </r>
  <r>
    <x v="140"/>
    <x v="0"/>
    <x v="1"/>
    <x v="2"/>
    <n v="194974"/>
  </r>
  <r>
    <x v="140"/>
    <x v="0"/>
    <x v="2"/>
    <x v="0"/>
    <n v="522756"/>
  </r>
  <r>
    <x v="140"/>
    <x v="0"/>
    <x v="2"/>
    <x v="1"/>
    <n v="554253"/>
  </r>
  <r>
    <x v="140"/>
    <x v="0"/>
    <x v="2"/>
    <x v="2"/>
    <n v="631938"/>
  </r>
  <r>
    <x v="140"/>
    <x v="0"/>
    <x v="2"/>
    <x v="3"/>
    <n v="22358"/>
  </r>
  <r>
    <x v="140"/>
    <x v="0"/>
    <x v="2"/>
    <x v="4"/>
    <n v="300000"/>
  </r>
  <r>
    <x v="140"/>
    <x v="0"/>
    <x v="3"/>
    <x v="4"/>
    <n v="5000"/>
  </r>
  <r>
    <x v="140"/>
    <x v="0"/>
    <x v="4"/>
    <x v="0"/>
    <n v="24963"/>
  </r>
  <r>
    <x v="140"/>
    <x v="0"/>
    <x v="4"/>
    <x v="2"/>
    <n v="5656"/>
  </r>
  <r>
    <x v="140"/>
    <x v="2"/>
    <x v="2"/>
    <x v="0"/>
    <n v="292966"/>
  </r>
  <r>
    <x v="140"/>
    <x v="2"/>
    <x v="2"/>
    <x v="2"/>
    <n v="123827"/>
  </r>
  <r>
    <x v="140"/>
    <x v="4"/>
    <x v="0"/>
    <x v="0"/>
    <n v="19588"/>
  </r>
  <r>
    <x v="140"/>
    <x v="4"/>
    <x v="0"/>
    <x v="1"/>
    <n v="5278"/>
  </r>
  <r>
    <x v="140"/>
    <x v="4"/>
    <x v="0"/>
    <x v="2"/>
    <n v="8551"/>
  </r>
  <r>
    <x v="140"/>
    <x v="4"/>
    <x v="1"/>
    <x v="0"/>
    <n v="31582"/>
  </r>
  <r>
    <x v="140"/>
    <x v="4"/>
    <x v="1"/>
    <x v="2"/>
    <n v="12768"/>
  </r>
  <r>
    <x v="140"/>
    <x v="4"/>
    <x v="1"/>
    <x v="4"/>
    <n v="19686"/>
  </r>
  <r>
    <x v="140"/>
    <x v="4"/>
    <x v="2"/>
    <x v="0"/>
    <n v="40260"/>
  </r>
  <r>
    <x v="140"/>
    <x v="4"/>
    <x v="2"/>
    <x v="1"/>
    <n v="23045"/>
  </r>
  <r>
    <x v="140"/>
    <x v="4"/>
    <x v="2"/>
    <x v="2"/>
    <n v="35261"/>
  </r>
  <r>
    <x v="140"/>
    <x v="4"/>
    <x v="4"/>
    <x v="0"/>
    <n v="639"/>
  </r>
  <r>
    <x v="140"/>
    <x v="4"/>
    <x v="4"/>
    <x v="2"/>
    <n v="145"/>
  </r>
  <r>
    <x v="140"/>
    <x v="3"/>
    <x v="2"/>
    <x v="1"/>
    <n v="68370"/>
  </r>
  <r>
    <x v="140"/>
    <x v="3"/>
    <x v="2"/>
    <x v="2"/>
    <n v="51484"/>
  </r>
  <r>
    <x v="141"/>
    <x v="0"/>
    <x v="0"/>
    <x v="0"/>
    <n v="183807"/>
  </r>
  <r>
    <x v="141"/>
    <x v="0"/>
    <x v="0"/>
    <x v="1"/>
    <n v="120494"/>
  </r>
  <r>
    <x v="141"/>
    <x v="0"/>
    <x v="0"/>
    <x v="2"/>
    <n v="95288"/>
  </r>
  <r>
    <x v="141"/>
    <x v="0"/>
    <x v="0"/>
    <x v="3"/>
    <n v="6000"/>
  </r>
  <r>
    <x v="141"/>
    <x v="0"/>
    <x v="0"/>
    <x v="4"/>
    <n v="54000"/>
  </r>
  <r>
    <x v="141"/>
    <x v="0"/>
    <x v="0"/>
    <x v="6"/>
    <n v="5000"/>
  </r>
  <r>
    <x v="141"/>
    <x v="0"/>
    <x v="0"/>
    <x v="7"/>
    <n v="2500"/>
  </r>
  <r>
    <x v="141"/>
    <x v="0"/>
    <x v="9"/>
    <x v="0"/>
    <n v="42602"/>
  </r>
  <r>
    <x v="141"/>
    <x v="0"/>
    <x v="9"/>
    <x v="2"/>
    <n v="17882"/>
  </r>
  <r>
    <x v="141"/>
    <x v="0"/>
    <x v="9"/>
    <x v="4"/>
    <n v="250"/>
  </r>
  <r>
    <x v="141"/>
    <x v="0"/>
    <x v="7"/>
    <x v="1"/>
    <n v="750"/>
  </r>
  <r>
    <x v="141"/>
    <x v="0"/>
    <x v="7"/>
    <x v="2"/>
    <n v="158"/>
  </r>
  <r>
    <x v="141"/>
    <x v="0"/>
    <x v="1"/>
    <x v="0"/>
    <n v="1402526"/>
  </r>
  <r>
    <x v="141"/>
    <x v="0"/>
    <x v="1"/>
    <x v="1"/>
    <n v="153267"/>
  </r>
  <r>
    <x v="141"/>
    <x v="0"/>
    <x v="1"/>
    <x v="2"/>
    <n v="589015"/>
  </r>
  <r>
    <x v="141"/>
    <x v="0"/>
    <x v="1"/>
    <x v="3"/>
    <n v="21300"/>
  </r>
  <r>
    <x v="141"/>
    <x v="0"/>
    <x v="1"/>
    <x v="4"/>
    <n v="184000"/>
  </r>
  <r>
    <x v="141"/>
    <x v="0"/>
    <x v="1"/>
    <x v="6"/>
    <n v="5000"/>
  </r>
  <r>
    <x v="141"/>
    <x v="0"/>
    <x v="1"/>
    <x v="7"/>
    <n v="4000"/>
  </r>
  <r>
    <x v="141"/>
    <x v="0"/>
    <x v="2"/>
    <x v="0"/>
    <n v="1963678"/>
  </r>
  <r>
    <x v="141"/>
    <x v="0"/>
    <x v="2"/>
    <x v="1"/>
    <n v="2086667"/>
  </r>
  <r>
    <x v="141"/>
    <x v="0"/>
    <x v="2"/>
    <x v="2"/>
    <n v="1758856"/>
  </r>
  <r>
    <x v="141"/>
    <x v="0"/>
    <x v="2"/>
    <x v="3"/>
    <n v="16300"/>
  </r>
  <r>
    <x v="141"/>
    <x v="0"/>
    <x v="2"/>
    <x v="4"/>
    <n v="333909"/>
  </r>
  <r>
    <x v="141"/>
    <x v="0"/>
    <x v="2"/>
    <x v="6"/>
    <n v="14000"/>
  </r>
  <r>
    <x v="141"/>
    <x v="0"/>
    <x v="2"/>
    <x v="7"/>
    <n v="5000"/>
  </r>
  <r>
    <x v="141"/>
    <x v="0"/>
    <x v="3"/>
    <x v="5"/>
    <n v="2925"/>
  </r>
  <r>
    <x v="141"/>
    <x v="0"/>
    <x v="3"/>
    <x v="0"/>
    <n v="263583"/>
  </r>
  <r>
    <x v="141"/>
    <x v="0"/>
    <x v="3"/>
    <x v="1"/>
    <n v="3801"/>
  </r>
  <r>
    <x v="141"/>
    <x v="0"/>
    <x v="3"/>
    <x v="2"/>
    <n v="84090"/>
  </r>
  <r>
    <x v="141"/>
    <x v="0"/>
    <x v="3"/>
    <x v="3"/>
    <n v="12500"/>
  </r>
  <r>
    <x v="141"/>
    <x v="0"/>
    <x v="3"/>
    <x v="4"/>
    <n v="14000"/>
  </r>
  <r>
    <x v="141"/>
    <x v="0"/>
    <x v="8"/>
    <x v="3"/>
    <n v="10000"/>
  </r>
  <r>
    <x v="141"/>
    <x v="0"/>
    <x v="8"/>
    <x v="4"/>
    <n v="20000"/>
  </r>
  <r>
    <x v="141"/>
    <x v="0"/>
    <x v="4"/>
    <x v="0"/>
    <n v="46255"/>
  </r>
  <r>
    <x v="141"/>
    <x v="0"/>
    <x v="4"/>
    <x v="2"/>
    <n v="17961"/>
  </r>
  <r>
    <x v="141"/>
    <x v="1"/>
    <x v="1"/>
    <x v="0"/>
    <n v="56062"/>
  </r>
  <r>
    <x v="141"/>
    <x v="1"/>
    <x v="1"/>
    <x v="1"/>
    <n v="5371"/>
  </r>
  <r>
    <x v="141"/>
    <x v="1"/>
    <x v="1"/>
    <x v="2"/>
    <n v="21247"/>
  </r>
  <r>
    <x v="141"/>
    <x v="1"/>
    <x v="1"/>
    <x v="4"/>
    <n v="30000"/>
  </r>
  <r>
    <x v="141"/>
    <x v="1"/>
    <x v="2"/>
    <x v="0"/>
    <n v="17500"/>
  </r>
  <r>
    <x v="141"/>
    <x v="1"/>
    <x v="2"/>
    <x v="1"/>
    <n v="9100"/>
  </r>
  <r>
    <x v="141"/>
    <x v="1"/>
    <x v="2"/>
    <x v="2"/>
    <n v="5360"/>
  </r>
  <r>
    <x v="141"/>
    <x v="1"/>
    <x v="2"/>
    <x v="3"/>
    <n v="4000"/>
  </r>
  <r>
    <x v="141"/>
    <x v="1"/>
    <x v="2"/>
    <x v="4"/>
    <n v="43162"/>
  </r>
  <r>
    <x v="141"/>
    <x v="1"/>
    <x v="3"/>
    <x v="0"/>
    <n v="807"/>
  </r>
  <r>
    <x v="141"/>
    <x v="1"/>
    <x v="3"/>
    <x v="2"/>
    <n v="286"/>
  </r>
  <r>
    <x v="141"/>
    <x v="1"/>
    <x v="8"/>
    <x v="3"/>
    <n v="2120"/>
  </r>
  <r>
    <x v="141"/>
    <x v="2"/>
    <x v="9"/>
    <x v="0"/>
    <n v="53923"/>
  </r>
  <r>
    <x v="141"/>
    <x v="2"/>
    <x v="9"/>
    <x v="2"/>
    <n v="20414"/>
  </r>
  <r>
    <x v="141"/>
    <x v="2"/>
    <x v="1"/>
    <x v="0"/>
    <n v="31399"/>
  </r>
  <r>
    <x v="141"/>
    <x v="2"/>
    <x v="1"/>
    <x v="2"/>
    <n v="12946"/>
  </r>
  <r>
    <x v="141"/>
    <x v="2"/>
    <x v="1"/>
    <x v="4"/>
    <n v="95000"/>
  </r>
  <r>
    <x v="141"/>
    <x v="2"/>
    <x v="2"/>
    <x v="1"/>
    <n v="123622"/>
  </r>
  <r>
    <x v="141"/>
    <x v="2"/>
    <x v="2"/>
    <x v="2"/>
    <n v="62682"/>
  </r>
  <r>
    <x v="141"/>
    <x v="2"/>
    <x v="2"/>
    <x v="3"/>
    <n v="23585"/>
  </r>
  <r>
    <x v="141"/>
    <x v="2"/>
    <x v="2"/>
    <x v="4"/>
    <n v="362986"/>
  </r>
  <r>
    <x v="141"/>
    <x v="2"/>
    <x v="3"/>
    <x v="0"/>
    <n v="3806"/>
  </r>
  <r>
    <x v="141"/>
    <x v="2"/>
    <x v="3"/>
    <x v="2"/>
    <n v="1122"/>
  </r>
  <r>
    <x v="141"/>
    <x v="2"/>
    <x v="3"/>
    <x v="3"/>
    <n v="4000"/>
  </r>
  <r>
    <x v="141"/>
    <x v="2"/>
    <x v="3"/>
    <x v="4"/>
    <n v="7500"/>
  </r>
  <r>
    <x v="141"/>
    <x v="2"/>
    <x v="8"/>
    <x v="3"/>
    <n v="4000"/>
  </r>
  <r>
    <x v="142"/>
    <x v="0"/>
    <x v="0"/>
    <x v="0"/>
    <n v="148871"/>
  </r>
  <r>
    <x v="142"/>
    <x v="0"/>
    <x v="0"/>
    <x v="1"/>
    <n v="58231"/>
  </r>
  <r>
    <x v="142"/>
    <x v="0"/>
    <x v="0"/>
    <x v="2"/>
    <n v="69539"/>
  </r>
  <r>
    <x v="142"/>
    <x v="0"/>
    <x v="7"/>
    <x v="1"/>
    <n v="41524"/>
  </r>
  <r>
    <x v="142"/>
    <x v="0"/>
    <x v="7"/>
    <x v="2"/>
    <n v="26146"/>
  </r>
  <r>
    <x v="142"/>
    <x v="0"/>
    <x v="1"/>
    <x v="0"/>
    <n v="522567"/>
  </r>
  <r>
    <x v="142"/>
    <x v="0"/>
    <x v="1"/>
    <x v="1"/>
    <n v="400"/>
  </r>
  <r>
    <x v="142"/>
    <x v="0"/>
    <x v="1"/>
    <x v="2"/>
    <n v="187447"/>
  </r>
  <r>
    <x v="142"/>
    <x v="0"/>
    <x v="1"/>
    <x v="4"/>
    <n v="4501"/>
  </r>
  <r>
    <x v="142"/>
    <x v="0"/>
    <x v="2"/>
    <x v="5"/>
    <n v="531"/>
  </r>
  <r>
    <x v="142"/>
    <x v="0"/>
    <x v="2"/>
    <x v="0"/>
    <n v="671726"/>
  </r>
  <r>
    <x v="142"/>
    <x v="0"/>
    <x v="2"/>
    <x v="1"/>
    <n v="690684"/>
  </r>
  <r>
    <x v="142"/>
    <x v="0"/>
    <x v="2"/>
    <x v="2"/>
    <n v="665615"/>
  </r>
  <r>
    <x v="142"/>
    <x v="0"/>
    <x v="2"/>
    <x v="3"/>
    <n v="18397"/>
  </r>
  <r>
    <x v="142"/>
    <x v="0"/>
    <x v="2"/>
    <x v="4"/>
    <n v="183865"/>
  </r>
  <r>
    <x v="142"/>
    <x v="0"/>
    <x v="2"/>
    <x v="6"/>
    <n v="11688"/>
  </r>
  <r>
    <x v="142"/>
    <x v="0"/>
    <x v="3"/>
    <x v="5"/>
    <n v="500"/>
  </r>
  <r>
    <x v="142"/>
    <x v="0"/>
    <x v="3"/>
    <x v="3"/>
    <n v="1"/>
  </r>
  <r>
    <x v="142"/>
    <x v="0"/>
    <x v="3"/>
    <x v="4"/>
    <n v="5000"/>
  </r>
  <r>
    <x v="142"/>
    <x v="0"/>
    <x v="3"/>
    <x v="6"/>
    <n v="1100"/>
  </r>
  <r>
    <x v="142"/>
    <x v="0"/>
    <x v="4"/>
    <x v="0"/>
    <n v="24542"/>
  </r>
  <r>
    <x v="142"/>
    <x v="0"/>
    <x v="4"/>
    <x v="2"/>
    <n v="9358"/>
  </r>
  <r>
    <x v="142"/>
    <x v="1"/>
    <x v="2"/>
    <x v="3"/>
    <n v="100"/>
  </r>
  <r>
    <x v="142"/>
    <x v="1"/>
    <x v="2"/>
    <x v="4"/>
    <n v="36816"/>
  </r>
  <r>
    <x v="142"/>
    <x v="1"/>
    <x v="3"/>
    <x v="4"/>
    <n v="491"/>
  </r>
  <r>
    <x v="142"/>
    <x v="2"/>
    <x v="2"/>
    <x v="0"/>
    <n v="244104"/>
  </r>
  <r>
    <x v="142"/>
    <x v="2"/>
    <x v="2"/>
    <x v="1"/>
    <n v="2127"/>
  </r>
  <r>
    <x v="142"/>
    <x v="2"/>
    <x v="2"/>
    <x v="2"/>
    <n v="90883"/>
  </r>
  <r>
    <x v="142"/>
    <x v="2"/>
    <x v="2"/>
    <x v="3"/>
    <n v="1018"/>
  </r>
  <r>
    <x v="142"/>
    <x v="2"/>
    <x v="2"/>
    <x v="4"/>
    <n v="3"/>
  </r>
  <r>
    <x v="142"/>
    <x v="2"/>
    <x v="2"/>
    <x v="6"/>
    <n v="1"/>
  </r>
  <r>
    <x v="142"/>
    <x v="2"/>
    <x v="3"/>
    <x v="4"/>
    <n v="1"/>
  </r>
  <r>
    <x v="143"/>
    <x v="0"/>
    <x v="1"/>
    <x v="1"/>
    <n v="4385"/>
  </r>
  <r>
    <x v="143"/>
    <x v="0"/>
    <x v="1"/>
    <x v="2"/>
    <n v="2498"/>
  </r>
  <r>
    <x v="143"/>
    <x v="0"/>
    <x v="2"/>
    <x v="0"/>
    <n v="375"/>
  </r>
  <r>
    <x v="143"/>
    <x v="0"/>
    <x v="2"/>
    <x v="1"/>
    <n v="201412"/>
  </r>
  <r>
    <x v="143"/>
    <x v="0"/>
    <x v="2"/>
    <x v="2"/>
    <n v="128018"/>
  </r>
  <r>
    <x v="143"/>
    <x v="0"/>
    <x v="2"/>
    <x v="4"/>
    <n v="924496"/>
  </r>
  <r>
    <x v="144"/>
    <x v="0"/>
    <x v="2"/>
    <x v="4"/>
    <n v="83401"/>
  </r>
  <r>
    <x v="145"/>
    <x v="0"/>
    <x v="0"/>
    <x v="0"/>
    <n v="464137"/>
  </r>
  <r>
    <x v="145"/>
    <x v="0"/>
    <x v="0"/>
    <x v="1"/>
    <n v="133771"/>
  </r>
  <r>
    <x v="145"/>
    <x v="0"/>
    <x v="0"/>
    <x v="2"/>
    <n v="192566"/>
  </r>
  <r>
    <x v="145"/>
    <x v="0"/>
    <x v="0"/>
    <x v="3"/>
    <n v="12000"/>
  </r>
  <r>
    <x v="145"/>
    <x v="0"/>
    <x v="0"/>
    <x v="4"/>
    <n v="21200"/>
  </r>
  <r>
    <x v="145"/>
    <x v="0"/>
    <x v="7"/>
    <x v="4"/>
    <n v="12000"/>
  </r>
  <r>
    <x v="145"/>
    <x v="0"/>
    <x v="1"/>
    <x v="0"/>
    <n v="2131316"/>
  </r>
  <r>
    <x v="145"/>
    <x v="0"/>
    <x v="1"/>
    <x v="1"/>
    <n v="167518"/>
  </r>
  <r>
    <x v="145"/>
    <x v="0"/>
    <x v="1"/>
    <x v="2"/>
    <n v="859844"/>
  </r>
  <r>
    <x v="145"/>
    <x v="0"/>
    <x v="1"/>
    <x v="3"/>
    <n v="19000"/>
  </r>
  <r>
    <x v="145"/>
    <x v="0"/>
    <x v="1"/>
    <x v="4"/>
    <n v="55000"/>
  </r>
  <r>
    <x v="145"/>
    <x v="0"/>
    <x v="2"/>
    <x v="5"/>
    <n v="600"/>
  </r>
  <r>
    <x v="145"/>
    <x v="0"/>
    <x v="2"/>
    <x v="0"/>
    <n v="2461328"/>
  </r>
  <r>
    <x v="145"/>
    <x v="0"/>
    <x v="2"/>
    <x v="1"/>
    <n v="2867537"/>
  </r>
  <r>
    <x v="145"/>
    <x v="0"/>
    <x v="2"/>
    <x v="2"/>
    <n v="2478582"/>
  </r>
  <r>
    <x v="145"/>
    <x v="0"/>
    <x v="2"/>
    <x v="3"/>
    <n v="13500"/>
  </r>
  <r>
    <x v="145"/>
    <x v="0"/>
    <x v="2"/>
    <x v="4"/>
    <n v="340500"/>
  </r>
  <r>
    <x v="145"/>
    <x v="0"/>
    <x v="3"/>
    <x v="0"/>
    <n v="40605"/>
  </r>
  <r>
    <x v="145"/>
    <x v="0"/>
    <x v="3"/>
    <x v="2"/>
    <n v="14779"/>
  </r>
  <r>
    <x v="145"/>
    <x v="0"/>
    <x v="3"/>
    <x v="4"/>
    <n v="34300"/>
  </r>
  <r>
    <x v="145"/>
    <x v="0"/>
    <x v="8"/>
    <x v="3"/>
    <n v="15000"/>
  </r>
  <r>
    <x v="145"/>
    <x v="0"/>
    <x v="4"/>
    <x v="0"/>
    <n v="58497"/>
  </r>
  <r>
    <x v="145"/>
    <x v="0"/>
    <x v="4"/>
    <x v="2"/>
    <n v="21613"/>
  </r>
  <r>
    <x v="145"/>
    <x v="1"/>
    <x v="2"/>
    <x v="3"/>
    <n v="23467"/>
  </r>
  <r>
    <x v="145"/>
    <x v="1"/>
    <x v="2"/>
    <x v="4"/>
    <n v="125240"/>
  </r>
  <r>
    <x v="145"/>
    <x v="2"/>
    <x v="1"/>
    <x v="0"/>
    <n v="117513"/>
  </r>
  <r>
    <x v="145"/>
    <x v="2"/>
    <x v="1"/>
    <x v="2"/>
    <n v="39648"/>
  </r>
  <r>
    <x v="145"/>
    <x v="2"/>
    <x v="2"/>
    <x v="0"/>
    <n v="757738"/>
  </r>
  <r>
    <x v="145"/>
    <x v="2"/>
    <x v="2"/>
    <x v="2"/>
    <n v="273404"/>
  </r>
  <r>
    <x v="145"/>
    <x v="2"/>
    <x v="3"/>
    <x v="0"/>
    <n v="22064"/>
  </r>
  <r>
    <x v="145"/>
    <x v="2"/>
    <x v="3"/>
    <x v="2"/>
    <n v="8192"/>
  </r>
  <r>
    <x v="146"/>
    <x v="0"/>
    <x v="0"/>
    <x v="0"/>
    <n v="16337"/>
  </r>
  <r>
    <x v="146"/>
    <x v="0"/>
    <x v="0"/>
    <x v="1"/>
    <n v="39437"/>
  </r>
  <r>
    <x v="146"/>
    <x v="0"/>
    <x v="0"/>
    <x v="2"/>
    <n v="20330"/>
  </r>
  <r>
    <x v="146"/>
    <x v="0"/>
    <x v="0"/>
    <x v="3"/>
    <n v="500"/>
  </r>
  <r>
    <x v="146"/>
    <x v="0"/>
    <x v="0"/>
    <x v="4"/>
    <n v="2000"/>
  </r>
  <r>
    <x v="146"/>
    <x v="0"/>
    <x v="1"/>
    <x v="0"/>
    <n v="268246"/>
  </r>
  <r>
    <x v="146"/>
    <x v="0"/>
    <x v="1"/>
    <x v="1"/>
    <n v="31530"/>
  </r>
  <r>
    <x v="146"/>
    <x v="0"/>
    <x v="1"/>
    <x v="2"/>
    <n v="118958"/>
  </r>
  <r>
    <x v="146"/>
    <x v="0"/>
    <x v="1"/>
    <x v="3"/>
    <n v="3150"/>
  </r>
  <r>
    <x v="146"/>
    <x v="0"/>
    <x v="1"/>
    <x v="4"/>
    <n v="199000"/>
  </r>
  <r>
    <x v="146"/>
    <x v="0"/>
    <x v="2"/>
    <x v="0"/>
    <n v="747286"/>
  </r>
  <r>
    <x v="146"/>
    <x v="0"/>
    <x v="2"/>
    <x v="1"/>
    <n v="686283"/>
  </r>
  <r>
    <x v="146"/>
    <x v="0"/>
    <x v="2"/>
    <x v="2"/>
    <n v="701783"/>
  </r>
  <r>
    <x v="146"/>
    <x v="0"/>
    <x v="2"/>
    <x v="3"/>
    <n v="4000"/>
  </r>
  <r>
    <x v="146"/>
    <x v="0"/>
    <x v="4"/>
    <x v="0"/>
    <n v="4385"/>
  </r>
  <r>
    <x v="146"/>
    <x v="0"/>
    <x v="4"/>
    <x v="2"/>
    <n v="1026"/>
  </r>
  <r>
    <x v="146"/>
    <x v="1"/>
    <x v="1"/>
    <x v="0"/>
    <n v="25688"/>
  </r>
  <r>
    <x v="146"/>
    <x v="1"/>
    <x v="1"/>
    <x v="2"/>
    <n v="8988"/>
  </r>
  <r>
    <x v="146"/>
    <x v="1"/>
    <x v="2"/>
    <x v="1"/>
    <n v="10754"/>
  </r>
  <r>
    <x v="146"/>
    <x v="1"/>
    <x v="2"/>
    <x v="2"/>
    <n v="6800"/>
  </r>
  <r>
    <x v="146"/>
    <x v="2"/>
    <x v="1"/>
    <x v="0"/>
    <n v="77063"/>
  </r>
  <r>
    <x v="146"/>
    <x v="2"/>
    <x v="1"/>
    <x v="2"/>
    <n v="26963"/>
  </r>
  <r>
    <x v="146"/>
    <x v="2"/>
    <x v="2"/>
    <x v="0"/>
    <n v="48395"/>
  </r>
  <r>
    <x v="146"/>
    <x v="2"/>
    <x v="2"/>
    <x v="1"/>
    <n v="70665"/>
  </r>
  <r>
    <x v="146"/>
    <x v="2"/>
    <x v="2"/>
    <x v="2"/>
    <n v="68273"/>
  </r>
  <r>
    <x v="147"/>
    <x v="0"/>
    <x v="2"/>
    <x v="0"/>
    <n v="189474"/>
  </r>
  <r>
    <x v="147"/>
    <x v="0"/>
    <x v="2"/>
    <x v="1"/>
    <n v="236660"/>
  </r>
  <r>
    <x v="147"/>
    <x v="0"/>
    <x v="2"/>
    <x v="2"/>
    <n v="258962"/>
  </r>
  <r>
    <x v="147"/>
    <x v="0"/>
    <x v="2"/>
    <x v="3"/>
    <n v="12500"/>
  </r>
  <r>
    <x v="147"/>
    <x v="0"/>
    <x v="2"/>
    <x v="4"/>
    <n v="100000"/>
  </r>
  <r>
    <x v="147"/>
    <x v="0"/>
    <x v="2"/>
    <x v="6"/>
    <n v="1000"/>
  </r>
  <r>
    <x v="147"/>
    <x v="0"/>
    <x v="5"/>
    <x v="4"/>
    <n v="45000"/>
  </r>
  <r>
    <x v="147"/>
    <x v="0"/>
    <x v="3"/>
    <x v="0"/>
    <n v="1882"/>
  </r>
  <r>
    <x v="147"/>
    <x v="0"/>
    <x v="3"/>
    <x v="2"/>
    <n v="864"/>
  </r>
  <r>
    <x v="147"/>
    <x v="0"/>
    <x v="8"/>
    <x v="3"/>
    <n v="19000"/>
  </r>
  <r>
    <x v="147"/>
    <x v="0"/>
    <x v="4"/>
    <x v="0"/>
    <n v="3763"/>
  </r>
  <r>
    <x v="147"/>
    <x v="0"/>
    <x v="4"/>
    <x v="2"/>
    <n v="1729"/>
  </r>
  <r>
    <x v="147"/>
    <x v="2"/>
    <x v="1"/>
    <x v="4"/>
    <n v="95725"/>
  </r>
  <r>
    <x v="147"/>
    <x v="2"/>
    <x v="2"/>
    <x v="1"/>
    <n v="2454"/>
  </r>
  <r>
    <x v="147"/>
    <x v="2"/>
    <x v="2"/>
    <x v="2"/>
    <n v="1682"/>
  </r>
  <r>
    <x v="148"/>
    <x v="0"/>
    <x v="0"/>
    <x v="0"/>
    <n v="290850"/>
  </r>
  <r>
    <x v="148"/>
    <x v="0"/>
    <x v="0"/>
    <x v="1"/>
    <n v="25005"/>
  </r>
  <r>
    <x v="148"/>
    <x v="0"/>
    <x v="0"/>
    <x v="2"/>
    <n v="101656"/>
  </r>
  <r>
    <x v="148"/>
    <x v="0"/>
    <x v="0"/>
    <x v="4"/>
    <n v="16500"/>
  </r>
  <r>
    <x v="148"/>
    <x v="0"/>
    <x v="0"/>
    <x v="6"/>
    <n v="500"/>
  </r>
  <r>
    <x v="148"/>
    <x v="0"/>
    <x v="9"/>
    <x v="4"/>
    <n v="12000"/>
  </r>
  <r>
    <x v="148"/>
    <x v="0"/>
    <x v="7"/>
    <x v="1"/>
    <n v="228012"/>
  </r>
  <r>
    <x v="148"/>
    <x v="0"/>
    <x v="7"/>
    <x v="2"/>
    <n v="160515"/>
  </r>
  <r>
    <x v="148"/>
    <x v="0"/>
    <x v="1"/>
    <x v="0"/>
    <n v="3227339"/>
  </r>
  <r>
    <x v="148"/>
    <x v="0"/>
    <x v="1"/>
    <x v="1"/>
    <n v="441094"/>
  </r>
  <r>
    <x v="148"/>
    <x v="0"/>
    <x v="1"/>
    <x v="2"/>
    <n v="1417320"/>
  </r>
  <r>
    <x v="148"/>
    <x v="0"/>
    <x v="1"/>
    <x v="4"/>
    <n v="442500"/>
  </r>
  <r>
    <x v="148"/>
    <x v="0"/>
    <x v="1"/>
    <x v="6"/>
    <n v="6700"/>
  </r>
  <r>
    <x v="148"/>
    <x v="0"/>
    <x v="2"/>
    <x v="0"/>
    <n v="3722010"/>
  </r>
  <r>
    <x v="148"/>
    <x v="0"/>
    <x v="2"/>
    <x v="1"/>
    <n v="3550303"/>
  </r>
  <r>
    <x v="148"/>
    <x v="0"/>
    <x v="2"/>
    <x v="2"/>
    <n v="3705715"/>
  </r>
  <r>
    <x v="148"/>
    <x v="0"/>
    <x v="2"/>
    <x v="3"/>
    <n v="108249"/>
  </r>
  <r>
    <x v="148"/>
    <x v="0"/>
    <x v="2"/>
    <x v="4"/>
    <n v="96650"/>
  </r>
  <r>
    <x v="148"/>
    <x v="0"/>
    <x v="2"/>
    <x v="6"/>
    <n v="3400"/>
  </r>
  <r>
    <x v="148"/>
    <x v="0"/>
    <x v="3"/>
    <x v="4"/>
    <n v="10500"/>
  </r>
  <r>
    <x v="148"/>
    <x v="0"/>
    <x v="3"/>
    <x v="6"/>
    <n v="1125"/>
  </r>
  <r>
    <x v="148"/>
    <x v="0"/>
    <x v="6"/>
    <x v="4"/>
    <n v="8500"/>
  </r>
  <r>
    <x v="148"/>
    <x v="2"/>
    <x v="2"/>
    <x v="0"/>
    <n v="1201899"/>
  </r>
  <r>
    <x v="148"/>
    <x v="2"/>
    <x v="2"/>
    <x v="1"/>
    <n v="37312"/>
  </r>
  <r>
    <x v="148"/>
    <x v="2"/>
    <x v="2"/>
    <x v="2"/>
    <n v="519676"/>
  </r>
  <r>
    <x v="149"/>
    <x v="0"/>
    <x v="2"/>
    <x v="0"/>
    <n v="295830"/>
  </r>
  <r>
    <x v="149"/>
    <x v="0"/>
    <x v="2"/>
    <x v="1"/>
    <n v="241588"/>
  </r>
  <r>
    <x v="149"/>
    <x v="0"/>
    <x v="2"/>
    <x v="2"/>
    <n v="312106"/>
  </r>
  <r>
    <x v="149"/>
    <x v="0"/>
    <x v="2"/>
    <x v="4"/>
    <n v="39403"/>
  </r>
  <r>
    <x v="149"/>
    <x v="0"/>
    <x v="5"/>
    <x v="4"/>
    <n v="200000"/>
  </r>
  <r>
    <x v="149"/>
    <x v="0"/>
    <x v="4"/>
    <x v="0"/>
    <n v="1119"/>
  </r>
  <r>
    <x v="149"/>
    <x v="0"/>
    <x v="4"/>
    <x v="2"/>
    <n v="501"/>
  </r>
  <r>
    <x v="149"/>
    <x v="2"/>
    <x v="1"/>
    <x v="4"/>
    <n v="123000"/>
  </r>
  <r>
    <x v="150"/>
    <x v="0"/>
    <x v="0"/>
    <x v="0"/>
    <n v="135273"/>
  </r>
  <r>
    <x v="150"/>
    <x v="0"/>
    <x v="0"/>
    <x v="2"/>
    <n v="43264"/>
  </r>
  <r>
    <x v="150"/>
    <x v="0"/>
    <x v="0"/>
    <x v="3"/>
    <n v="500"/>
  </r>
  <r>
    <x v="150"/>
    <x v="0"/>
    <x v="10"/>
    <x v="1"/>
    <n v="43235"/>
  </r>
  <r>
    <x v="150"/>
    <x v="0"/>
    <x v="10"/>
    <x v="2"/>
    <n v="21749"/>
  </r>
  <r>
    <x v="150"/>
    <x v="0"/>
    <x v="9"/>
    <x v="3"/>
    <n v="500"/>
  </r>
  <r>
    <x v="150"/>
    <x v="0"/>
    <x v="1"/>
    <x v="0"/>
    <n v="188204"/>
  </r>
  <r>
    <x v="150"/>
    <x v="0"/>
    <x v="1"/>
    <x v="1"/>
    <n v="267362"/>
  </r>
  <r>
    <x v="150"/>
    <x v="0"/>
    <x v="1"/>
    <x v="2"/>
    <n v="209951"/>
  </r>
  <r>
    <x v="150"/>
    <x v="0"/>
    <x v="1"/>
    <x v="3"/>
    <n v="250"/>
  </r>
  <r>
    <x v="150"/>
    <x v="0"/>
    <x v="1"/>
    <x v="4"/>
    <n v="75000"/>
  </r>
  <r>
    <x v="150"/>
    <x v="0"/>
    <x v="2"/>
    <x v="0"/>
    <n v="338770"/>
  </r>
  <r>
    <x v="150"/>
    <x v="0"/>
    <x v="2"/>
    <x v="1"/>
    <n v="88728"/>
  </r>
  <r>
    <x v="150"/>
    <x v="0"/>
    <x v="2"/>
    <x v="2"/>
    <n v="198101"/>
  </r>
  <r>
    <x v="150"/>
    <x v="0"/>
    <x v="2"/>
    <x v="3"/>
    <n v="2250"/>
  </r>
  <r>
    <x v="150"/>
    <x v="0"/>
    <x v="2"/>
    <x v="4"/>
    <n v="50000"/>
  </r>
  <r>
    <x v="150"/>
    <x v="2"/>
    <x v="1"/>
    <x v="3"/>
    <n v="24738"/>
  </r>
  <r>
    <x v="150"/>
    <x v="2"/>
    <x v="2"/>
    <x v="0"/>
    <n v="99203"/>
  </r>
  <r>
    <x v="150"/>
    <x v="2"/>
    <x v="2"/>
    <x v="2"/>
    <n v="40515"/>
  </r>
  <r>
    <x v="150"/>
    <x v="2"/>
    <x v="2"/>
    <x v="3"/>
    <n v="9548"/>
  </r>
  <r>
    <x v="150"/>
    <x v="2"/>
    <x v="2"/>
    <x v="4"/>
    <n v="45000"/>
  </r>
  <r>
    <x v="150"/>
    <x v="2"/>
    <x v="2"/>
    <x v="6"/>
    <n v="3000"/>
  </r>
  <r>
    <x v="151"/>
    <x v="0"/>
    <x v="0"/>
    <x v="0"/>
    <n v="140808"/>
  </r>
  <r>
    <x v="151"/>
    <x v="0"/>
    <x v="0"/>
    <x v="1"/>
    <n v="72597"/>
  </r>
  <r>
    <x v="151"/>
    <x v="0"/>
    <x v="0"/>
    <x v="2"/>
    <n v="73355"/>
  </r>
  <r>
    <x v="151"/>
    <x v="0"/>
    <x v="1"/>
    <x v="0"/>
    <n v="606450"/>
  </r>
  <r>
    <x v="151"/>
    <x v="0"/>
    <x v="1"/>
    <x v="2"/>
    <n v="225191"/>
  </r>
  <r>
    <x v="151"/>
    <x v="0"/>
    <x v="1"/>
    <x v="3"/>
    <n v="5000"/>
  </r>
  <r>
    <x v="151"/>
    <x v="0"/>
    <x v="1"/>
    <x v="4"/>
    <n v="99500"/>
  </r>
  <r>
    <x v="151"/>
    <x v="0"/>
    <x v="2"/>
    <x v="0"/>
    <n v="1075696"/>
  </r>
  <r>
    <x v="151"/>
    <x v="0"/>
    <x v="2"/>
    <x v="1"/>
    <n v="751608"/>
  </r>
  <r>
    <x v="151"/>
    <x v="0"/>
    <x v="2"/>
    <x v="2"/>
    <n v="866057"/>
  </r>
  <r>
    <x v="151"/>
    <x v="0"/>
    <x v="2"/>
    <x v="3"/>
    <n v="305500"/>
  </r>
  <r>
    <x v="151"/>
    <x v="0"/>
    <x v="5"/>
    <x v="4"/>
    <n v="190000"/>
  </r>
  <r>
    <x v="151"/>
    <x v="2"/>
    <x v="2"/>
    <x v="0"/>
    <n v="261989"/>
  </r>
  <r>
    <x v="151"/>
    <x v="2"/>
    <x v="2"/>
    <x v="2"/>
    <n v="117539"/>
  </r>
  <r>
    <x v="151"/>
    <x v="2"/>
    <x v="5"/>
    <x v="4"/>
    <n v="20000"/>
  </r>
  <r>
    <x v="152"/>
    <x v="0"/>
    <x v="2"/>
    <x v="4"/>
    <n v="52093"/>
  </r>
  <r>
    <x v="153"/>
    <x v="0"/>
    <x v="0"/>
    <x v="0"/>
    <n v="365043"/>
  </r>
  <r>
    <x v="153"/>
    <x v="0"/>
    <x v="0"/>
    <x v="1"/>
    <n v="234439"/>
  </r>
  <r>
    <x v="153"/>
    <x v="0"/>
    <x v="0"/>
    <x v="2"/>
    <n v="204873"/>
  </r>
  <r>
    <x v="153"/>
    <x v="0"/>
    <x v="0"/>
    <x v="3"/>
    <n v="10631"/>
  </r>
  <r>
    <x v="153"/>
    <x v="0"/>
    <x v="0"/>
    <x v="4"/>
    <n v="50000"/>
  </r>
  <r>
    <x v="153"/>
    <x v="0"/>
    <x v="1"/>
    <x v="0"/>
    <n v="1406839"/>
  </r>
  <r>
    <x v="153"/>
    <x v="0"/>
    <x v="1"/>
    <x v="1"/>
    <n v="95819"/>
  </r>
  <r>
    <x v="153"/>
    <x v="0"/>
    <x v="1"/>
    <x v="2"/>
    <n v="522740"/>
  </r>
  <r>
    <x v="153"/>
    <x v="0"/>
    <x v="1"/>
    <x v="3"/>
    <n v="6000"/>
  </r>
  <r>
    <x v="153"/>
    <x v="0"/>
    <x v="1"/>
    <x v="4"/>
    <n v="62150"/>
  </r>
  <r>
    <x v="153"/>
    <x v="0"/>
    <x v="1"/>
    <x v="6"/>
    <n v="5000"/>
  </r>
  <r>
    <x v="153"/>
    <x v="0"/>
    <x v="2"/>
    <x v="0"/>
    <n v="4223364"/>
  </r>
  <r>
    <x v="153"/>
    <x v="0"/>
    <x v="2"/>
    <x v="1"/>
    <n v="4165559"/>
  </r>
  <r>
    <x v="153"/>
    <x v="0"/>
    <x v="2"/>
    <x v="2"/>
    <n v="4002337"/>
  </r>
  <r>
    <x v="153"/>
    <x v="0"/>
    <x v="2"/>
    <x v="3"/>
    <n v="61869"/>
  </r>
  <r>
    <x v="153"/>
    <x v="0"/>
    <x v="2"/>
    <x v="4"/>
    <n v="2016000"/>
  </r>
  <r>
    <x v="153"/>
    <x v="0"/>
    <x v="2"/>
    <x v="6"/>
    <n v="1000"/>
  </r>
  <r>
    <x v="153"/>
    <x v="0"/>
    <x v="3"/>
    <x v="0"/>
    <n v="133320"/>
  </r>
  <r>
    <x v="153"/>
    <x v="0"/>
    <x v="3"/>
    <x v="2"/>
    <n v="30228"/>
  </r>
  <r>
    <x v="153"/>
    <x v="0"/>
    <x v="3"/>
    <x v="4"/>
    <n v="500"/>
  </r>
  <r>
    <x v="153"/>
    <x v="0"/>
    <x v="6"/>
    <x v="3"/>
    <n v="1000"/>
  </r>
  <r>
    <x v="153"/>
    <x v="0"/>
    <x v="6"/>
    <x v="4"/>
    <n v="1000"/>
  </r>
  <r>
    <x v="153"/>
    <x v="1"/>
    <x v="2"/>
    <x v="1"/>
    <n v="250000"/>
  </r>
  <r>
    <x v="153"/>
    <x v="1"/>
    <x v="2"/>
    <x v="2"/>
    <n v="21035"/>
  </r>
  <r>
    <x v="153"/>
    <x v="1"/>
    <x v="2"/>
    <x v="3"/>
    <n v="30000"/>
  </r>
  <r>
    <x v="153"/>
    <x v="1"/>
    <x v="2"/>
    <x v="4"/>
    <n v="59365"/>
  </r>
  <r>
    <x v="153"/>
    <x v="2"/>
    <x v="1"/>
    <x v="0"/>
    <n v="526672"/>
  </r>
  <r>
    <x v="153"/>
    <x v="2"/>
    <x v="1"/>
    <x v="2"/>
    <n v="187154"/>
  </r>
  <r>
    <x v="153"/>
    <x v="2"/>
    <x v="1"/>
    <x v="4"/>
    <n v="387760"/>
  </r>
  <r>
    <x v="153"/>
    <x v="2"/>
    <x v="2"/>
    <x v="4"/>
    <n v="258736"/>
  </r>
  <r>
    <x v="154"/>
    <x v="0"/>
    <x v="0"/>
    <x v="0"/>
    <n v="615884"/>
  </r>
  <r>
    <x v="154"/>
    <x v="0"/>
    <x v="0"/>
    <x v="1"/>
    <n v="259132"/>
  </r>
  <r>
    <x v="154"/>
    <x v="0"/>
    <x v="0"/>
    <x v="2"/>
    <n v="281415"/>
  </r>
  <r>
    <x v="154"/>
    <x v="0"/>
    <x v="0"/>
    <x v="3"/>
    <n v="8500"/>
  </r>
  <r>
    <x v="154"/>
    <x v="0"/>
    <x v="0"/>
    <x v="4"/>
    <n v="7600"/>
  </r>
  <r>
    <x v="154"/>
    <x v="0"/>
    <x v="0"/>
    <x v="6"/>
    <n v="3000"/>
  </r>
  <r>
    <x v="154"/>
    <x v="0"/>
    <x v="1"/>
    <x v="0"/>
    <n v="8304027"/>
  </r>
  <r>
    <x v="154"/>
    <x v="0"/>
    <x v="1"/>
    <x v="1"/>
    <n v="163037"/>
  </r>
  <r>
    <x v="154"/>
    <x v="0"/>
    <x v="1"/>
    <x v="2"/>
    <n v="2863234"/>
  </r>
  <r>
    <x v="154"/>
    <x v="0"/>
    <x v="1"/>
    <x v="3"/>
    <n v="70500"/>
  </r>
  <r>
    <x v="154"/>
    <x v="0"/>
    <x v="1"/>
    <x v="4"/>
    <n v="22400"/>
  </r>
  <r>
    <x v="154"/>
    <x v="0"/>
    <x v="1"/>
    <x v="6"/>
    <n v="5000"/>
  </r>
  <r>
    <x v="154"/>
    <x v="0"/>
    <x v="1"/>
    <x v="7"/>
    <n v="5800"/>
  </r>
  <r>
    <x v="154"/>
    <x v="0"/>
    <x v="2"/>
    <x v="0"/>
    <n v="11174738"/>
  </r>
  <r>
    <x v="154"/>
    <x v="0"/>
    <x v="2"/>
    <x v="1"/>
    <n v="9964431"/>
  </r>
  <r>
    <x v="154"/>
    <x v="0"/>
    <x v="2"/>
    <x v="2"/>
    <n v="8239225"/>
  </r>
  <r>
    <x v="154"/>
    <x v="0"/>
    <x v="2"/>
    <x v="3"/>
    <n v="125500"/>
  </r>
  <r>
    <x v="154"/>
    <x v="0"/>
    <x v="2"/>
    <x v="4"/>
    <n v="498100"/>
  </r>
  <r>
    <x v="154"/>
    <x v="0"/>
    <x v="2"/>
    <x v="6"/>
    <n v="1300"/>
  </r>
  <r>
    <x v="154"/>
    <x v="0"/>
    <x v="5"/>
    <x v="4"/>
    <n v="50000"/>
  </r>
  <r>
    <x v="154"/>
    <x v="0"/>
    <x v="3"/>
    <x v="0"/>
    <n v="142601"/>
  </r>
  <r>
    <x v="154"/>
    <x v="0"/>
    <x v="3"/>
    <x v="2"/>
    <n v="45419"/>
  </r>
  <r>
    <x v="154"/>
    <x v="0"/>
    <x v="4"/>
    <x v="0"/>
    <n v="272923"/>
  </r>
  <r>
    <x v="154"/>
    <x v="0"/>
    <x v="4"/>
    <x v="2"/>
    <n v="64078"/>
  </r>
  <r>
    <x v="154"/>
    <x v="2"/>
    <x v="0"/>
    <x v="0"/>
    <n v="104548"/>
  </r>
  <r>
    <x v="154"/>
    <x v="2"/>
    <x v="0"/>
    <x v="2"/>
    <n v="31002"/>
  </r>
  <r>
    <x v="154"/>
    <x v="2"/>
    <x v="0"/>
    <x v="3"/>
    <n v="3488"/>
  </r>
  <r>
    <x v="154"/>
    <x v="2"/>
    <x v="1"/>
    <x v="0"/>
    <n v="1419868"/>
  </r>
  <r>
    <x v="154"/>
    <x v="2"/>
    <x v="1"/>
    <x v="2"/>
    <n v="467046"/>
  </r>
  <r>
    <x v="154"/>
    <x v="2"/>
    <x v="2"/>
    <x v="0"/>
    <n v="893639"/>
  </r>
  <r>
    <x v="154"/>
    <x v="2"/>
    <x v="2"/>
    <x v="2"/>
    <n v="289249"/>
  </r>
  <r>
    <x v="154"/>
    <x v="2"/>
    <x v="2"/>
    <x v="3"/>
    <n v="78"/>
  </r>
  <r>
    <x v="155"/>
    <x v="0"/>
    <x v="0"/>
    <x v="0"/>
    <n v="111928"/>
  </r>
  <r>
    <x v="155"/>
    <x v="0"/>
    <x v="0"/>
    <x v="1"/>
    <n v="30356"/>
  </r>
  <r>
    <x v="155"/>
    <x v="0"/>
    <x v="0"/>
    <x v="2"/>
    <n v="49868"/>
  </r>
  <r>
    <x v="155"/>
    <x v="0"/>
    <x v="0"/>
    <x v="3"/>
    <n v="1000"/>
  </r>
  <r>
    <x v="155"/>
    <x v="0"/>
    <x v="0"/>
    <x v="4"/>
    <n v="2900"/>
  </r>
  <r>
    <x v="155"/>
    <x v="0"/>
    <x v="7"/>
    <x v="1"/>
    <n v="6573"/>
  </r>
  <r>
    <x v="155"/>
    <x v="0"/>
    <x v="7"/>
    <x v="2"/>
    <n v="4351"/>
  </r>
  <r>
    <x v="155"/>
    <x v="0"/>
    <x v="7"/>
    <x v="4"/>
    <n v="5000"/>
  </r>
  <r>
    <x v="155"/>
    <x v="0"/>
    <x v="1"/>
    <x v="0"/>
    <n v="291692"/>
  </r>
  <r>
    <x v="155"/>
    <x v="0"/>
    <x v="1"/>
    <x v="1"/>
    <n v="39834"/>
  </r>
  <r>
    <x v="155"/>
    <x v="0"/>
    <x v="1"/>
    <x v="2"/>
    <n v="128066"/>
  </r>
  <r>
    <x v="155"/>
    <x v="0"/>
    <x v="1"/>
    <x v="3"/>
    <n v="350"/>
  </r>
  <r>
    <x v="155"/>
    <x v="0"/>
    <x v="2"/>
    <x v="0"/>
    <n v="532730"/>
  </r>
  <r>
    <x v="155"/>
    <x v="0"/>
    <x v="2"/>
    <x v="1"/>
    <n v="89731"/>
  </r>
  <r>
    <x v="155"/>
    <x v="0"/>
    <x v="2"/>
    <x v="2"/>
    <n v="267737"/>
  </r>
  <r>
    <x v="155"/>
    <x v="0"/>
    <x v="2"/>
    <x v="3"/>
    <n v="3000"/>
  </r>
  <r>
    <x v="155"/>
    <x v="0"/>
    <x v="2"/>
    <x v="4"/>
    <n v="102500"/>
  </r>
  <r>
    <x v="155"/>
    <x v="0"/>
    <x v="5"/>
    <x v="4"/>
    <n v="75000"/>
  </r>
  <r>
    <x v="155"/>
    <x v="0"/>
    <x v="3"/>
    <x v="0"/>
    <n v="6323"/>
  </r>
  <r>
    <x v="155"/>
    <x v="0"/>
    <x v="3"/>
    <x v="1"/>
    <n v="2022"/>
  </r>
  <r>
    <x v="155"/>
    <x v="0"/>
    <x v="3"/>
    <x v="2"/>
    <n v="1729"/>
  </r>
  <r>
    <x v="155"/>
    <x v="0"/>
    <x v="3"/>
    <x v="4"/>
    <n v="2000"/>
  </r>
  <r>
    <x v="155"/>
    <x v="0"/>
    <x v="4"/>
    <x v="0"/>
    <n v="12250"/>
  </r>
  <r>
    <x v="155"/>
    <x v="0"/>
    <x v="4"/>
    <x v="2"/>
    <n v="2876"/>
  </r>
  <r>
    <x v="155"/>
    <x v="2"/>
    <x v="7"/>
    <x v="1"/>
    <n v="3415"/>
  </r>
  <r>
    <x v="155"/>
    <x v="2"/>
    <x v="7"/>
    <x v="2"/>
    <n v="2203"/>
  </r>
  <r>
    <x v="155"/>
    <x v="2"/>
    <x v="2"/>
    <x v="0"/>
    <n v="2316"/>
  </r>
  <r>
    <x v="155"/>
    <x v="2"/>
    <x v="2"/>
    <x v="1"/>
    <n v="221523"/>
  </r>
  <r>
    <x v="155"/>
    <x v="2"/>
    <x v="2"/>
    <x v="2"/>
    <n v="132021"/>
  </r>
  <r>
    <x v="156"/>
    <x v="0"/>
    <x v="7"/>
    <x v="1"/>
    <n v="19562"/>
  </r>
  <r>
    <x v="156"/>
    <x v="0"/>
    <x v="7"/>
    <x v="2"/>
    <n v="15406"/>
  </r>
  <r>
    <x v="156"/>
    <x v="0"/>
    <x v="1"/>
    <x v="1"/>
    <n v="6718"/>
  </r>
  <r>
    <x v="156"/>
    <x v="0"/>
    <x v="1"/>
    <x v="2"/>
    <n v="3733"/>
  </r>
  <r>
    <x v="156"/>
    <x v="0"/>
    <x v="1"/>
    <x v="4"/>
    <n v="170000"/>
  </r>
  <r>
    <x v="156"/>
    <x v="0"/>
    <x v="2"/>
    <x v="0"/>
    <n v="243156"/>
  </r>
  <r>
    <x v="156"/>
    <x v="0"/>
    <x v="2"/>
    <x v="1"/>
    <n v="191412"/>
  </r>
  <r>
    <x v="156"/>
    <x v="0"/>
    <x v="2"/>
    <x v="2"/>
    <n v="216757"/>
  </r>
  <r>
    <x v="156"/>
    <x v="0"/>
    <x v="2"/>
    <x v="3"/>
    <n v="3750"/>
  </r>
  <r>
    <x v="156"/>
    <x v="0"/>
    <x v="2"/>
    <x v="4"/>
    <n v="180000"/>
  </r>
  <r>
    <x v="156"/>
    <x v="0"/>
    <x v="5"/>
    <x v="4"/>
    <n v="411434"/>
  </r>
  <r>
    <x v="156"/>
    <x v="0"/>
    <x v="4"/>
    <x v="0"/>
    <n v="3474"/>
  </r>
  <r>
    <x v="156"/>
    <x v="0"/>
    <x v="4"/>
    <x v="2"/>
    <n v="817"/>
  </r>
  <r>
    <x v="156"/>
    <x v="1"/>
    <x v="2"/>
    <x v="3"/>
    <n v="30850"/>
  </r>
  <r>
    <x v="156"/>
    <x v="2"/>
    <x v="1"/>
    <x v="4"/>
    <n v="156914"/>
  </r>
  <r>
    <x v="156"/>
    <x v="2"/>
    <x v="2"/>
    <x v="1"/>
    <n v="4632"/>
  </r>
  <r>
    <x v="156"/>
    <x v="2"/>
    <x v="2"/>
    <x v="2"/>
    <n v="3549"/>
  </r>
  <r>
    <x v="156"/>
    <x v="2"/>
    <x v="6"/>
    <x v="3"/>
    <n v="2100"/>
  </r>
  <r>
    <x v="157"/>
    <x v="0"/>
    <x v="2"/>
    <x v="4"/>
    <n v="408260"/>
  </r>
  <r>
    <x v="158"/>
    <x v="0"/>
    <x v="0"/>
    <x v="0"/>
    <n v="21809"/>
  </r>
  <r>
    <x v="158"/>
    <x v="0"/>
    <x v="0"/>
    <x v="2"/>
    <n v="6857"/>
  </r>
  <r>
    <x v="158"/>
    <x v="0"/>
    <x v="1"/>
    <x v="4"/>
    <n v="106554"/>
  </r>
  <r>
    <x v="158"/>
    <x v="0"/>
    <x v="2"/>
    <x v="0"/>
    <n v="45455"/>
  </r>
  <r>
    <x v="158"/>
    <x v="0"/>
    <x v="2"/>
    <x v="2"/>
    <n v="23041"/>
  </r>
  <r>
    <x v="158"/>
    <x v="2"/>
    <x v="1"/>
    <x v="4"/>
    <n v="56671"/>
  </r>
  <r>
    <x v="158"/>
    <x v="2"/>
    <x v="2"/>
    <x v="1"/>
    <n v="3647"/>
  </r>
  <r>
    <x v="158"/>
    <x v="2"/>
    <x v="2"/>
    <x v="2"/>
    <n v="1993"/>
  </r>
  <r>
    <x v="158"/>
    <x v="3"/>
    <x v="1"/>
    <x v="4"/>
    <n v="31296"/>
  </r>
  <r>
    <x v="158"/>
    <x v="3"/>
    <x v="5"/>
    <x v="4"/>
    <n v="26000"/>
  </r>
  <r>
    <x v="159"/>
    <x v="0"/>
    <x v="0"/>
    <x v="0"/>
    <n v="17500"/>
  </r>
  <r>
    <x v="159"/>
    <x v="0"/>
    <x v="0"/>
    <x v="1"/>
    <n v="31478"/>
  </r>
  <r>
    <x v="159"/>
    <x v="0"/>
    <x v="0"/>
    <x v="2"/>
    <n v="20152"/>
  </r>
  <r>
    <x v="159"/>
    <x v="0"/>
    <x v="1"/>
    <x v="0"/>
    <n v="273275"/>
  </r>
  <r>
    <x v="159"/>
    <x v="0"/>
    <x v="1"/>
    <x v="1"/>
    <n v="27087"/>
  </r>
  <r>
    <x v="159"/>
    <x v="0"/>
    <x v="1"/>
    <x v="2"/>
    <n v="115703"/>
  </r>
  <r>
    <x v="159"/>
    <x v="0"/>
    <x v="1"/>
    <x v="4"/>
    <n v="95905"/>
  </r>
  <r>
    <x v="159"/>
    <x v="0"/>
    <x v="2"/>
    <x v="0"/>
    <n v="593455"/>
  </r>
  <r>
    <x v="159"/>
    <x v="0"/>
    <x v="2"/>
    <x v="1"/>
    <n v="303655"/>
  </r>
  <r>
    <x v="159"/>
    <x v="0"/>
    <x v="2"/>
    <x v="2"/>
    <n v="446233"/>
  </r>
  <r>
    <x v="159"/>
    <x v="0"/>
    <x v="2"/>
    <x v="3"/>
    <n v="3750"/>
  </r>
  <r>
    <x v="159"/>
    <x v="0"/>
    <x v="2"/>
    <x v="4"/>
    <n v="12500"/>
  </r>
  <r>
    <x v="159"/>
    <x v="0"/>
    <x v="2"/>
    <x v="6"/>
    <n v="1000"/>
  </r>
  <r>
    <x v="159"/>
    <x v="2"/>
    <x v="2"/>
    <x v="0"/>
    <n v="1500"/>
  </r>
  <r>
    <x v="159"/>
    <x v="2"/>
    <x v="2"/>
    <x v="1"/>
    <n v="161915"/>
  </r>
  <r>
    <x v="159"/>
    <x v="2"/>
    <x v="2"/>
    <x v="2"/>
    <n v="107321"/>
  </r>
  <r>
    <x v="159"/>
    <x v="2"/>
    <x v="2"/>
    <x v="3"/>
    <n v="9837"/>
  </r>
  <r>
    <x v="159"/>
    <x v="2"/>
    <x v="2"/>
    <x v="4"/>
    <n v="500"/>
  </r>
  <r>
    <x v="159"/>
    <x v="2"/>
    <x v="2"/>
    <x v="6"/>
    <n v="500"/>
  </r>
  <r>
    <x v="159"/>
    <x v="2"/>
    <x v="3"/>
    <x v="1"/>
    <n v="2958"/>
  </r>
  <r>
    <x v="159"/>
    <x v="2"/>
    <x v="3"/>
    <x v="2"/>
    <n v="361"/>
  </r>
  <r>
    <x v="159"/>
    <x v="2"/>
    <x v="3"/>
    <x v="6"/>
    <n v="250"/>
  </r>
  <r>
    <x v="160"/>
    <x v="0"/>
    <x v="0"/>
    <x v="0"/>
    <n v="116662"/>
  </r>
  <r>
    <x v="160"/>
    <x v="0"/>
    <x v="0"/>
    <x v="1"/>
    <n v="26650"/>
  </r>
  <r>
    <x v="160"/>
    <x v="0"/>
    <x v="0"/>
    <x v="2"/>
    <n v="50094"/>
  </r>
  <r>
    <x v="160"/>
    <x v="0"/>
    <x v="1"/>
    <x v="0"/>
    <n v="151683"/>
  </r>
  <r>
    <x v="160"/>
    <x v="0"/>
    <x v="1"/>
    <x v="1"/>
    <n v="44313"/>
  </r>
  <r>
    <x v="160"/>
    <x v="0"/>
    <x v="1"/>
    <x v="2"/>
    <n v="93716"/>
  </r>
  <r>
    <x v="160"/>
    <x v="0"/>
    <x v="1"/>
    <x v="3"/>
    <n v="5000"/>
  </r>
  <r>
    <x v="160"/>
    <x v="0"/>
    <x v="1"/>
    <x v="4"/>
    <n v="130000"/>
  </r>
  <r>
    <x v="160"/>
    <x v="0"/>
    <x v="1"/>
    <x v="6"/>
    <n v="2000"/>
  </r>
  <r>
    <x v="160"/>
    <x v="0"/>
    <x v="2"/>
    <x v="0"/>
    <n v="662015"/>
  </r>
  <r>
    <x v="160"/>
    <x v="0"/>
    <x v="2"/>
    <x v="1"/>
    <n v="311684"/>
  </r>
  <r>
    <x v="160"/>
    <x v="0"/>
    <x v="2"/>
    <x v="2"/>
    <n v="450076"/>
  </r>
  <r>
    <x v="160"/>
    <x v="0"/>
    <x v="2"/>
    <x v="3"/>
    <n v="63804"/>
  </r>
  <r>
    <x v="160"/>
    <x v="0"/>
    <x v="2"/>
    <x v="4"/>
    <n v="37800"/>
  </r>
  <r>
    <x v="160"/>
    <x v="0"/>
    <x v="2"/>
    <x v="6"/>
    <n v="4000"/>
  </r>
  <r>
    <x v="160"/>
    <x v="0"/>
    <x v="3"/>
    <x v="1"/>
    <n v="3088"/>
  </r>
  <r>
    <x v="160"/>
    <x v="0"/>
    <x v="3"/>
    <x v="2"/>
    <n v="647"/>
  </r>
  <r>
    <x v="160"/>
    <x v="0"/>
    <x v="3"/>
    <x v="4"/>
    <n v="3000"/>
  </r>
  <r>
    <x v="160"/>
    <x v="0"/>
    <x v="6"/>
    <x v="3"/>
    <n v="500"/>
  </r>
  <r>
    <x v="160"/>
    <x v="0"/>
    <x v="8"/>
    <x v="4"/>
    <n v="1000"/>
  </r>
  <r>
    <x v="160"/>
    <x v="2"/>
    <x v="1"/>
    <x v="0"/>
    <n v="153410"/>
  </r>
  <r>
    <x v="160"/>
    <x v="2"/>
    <x v="1"/>
    <x v="2"/>
    <n v="60235"/>
  </r>
  <r>
    <x v="160"/>
    <x v="2"/>
    <x v="2"/>
    <x v="0"/>
    <n v="68106"/>
  </r>
  <r>
    <x v="160"/>
    <x v="2"/>
    <x v="2"/>
    <x v="1"/>
    <n v="10226"/>
  </r>
  <r>
    <x v="160"/>
    <x v="2"/>
    <x v="2"/>
    <x v="2"/>
    <n v="35247"/>
  </r>
  <r>
    <x v="161"/>
    <x v="0"/>
    <x v="0"/>
    <x v="0"/>
    <n v="94500"/>
  </r>
  <r>
    <x v="161"/>
    <x v="0"/>
    <x v="0"/>
    <x v="1"/>
    <n v="35742"/>
  </r>
  <r>
    <x v="161"/>
    <x v="0"/>
    <x v="0"/>
    <x v="2"/>
    <n v="43651"/>
  </r>
  <r>
    <x v="161"/>
    <x v="0"/>
    <x v="1"/>
    <x v="0"/>
    <n v="552151"/>
  </r>
  <r>
    <x v="161"/>
    <x v="0"/>
    <x v="1"/>
    <x v="1"/>
    <n v="96269"/>
  </r>
  <r>
    <x v="161"/>
    <x v="0"/>
    <x v="1"/>
    <x v="2"/>
    <n v="266746"/>
  </r>
  <r>
    <x v="161"/>
    <x v="0"/>
    <x v="2"/>
    <x v="5"/>
    <n v="3000"/>
  </r>
  <r>
    <x v="161"/>
    <x v="0"/>
    <x v="2"/>
    <x v="0"/>
    <n v="940472"/>
  </r>
  <r>
    <x v="161"/>
    <x v="0"/>
    <x v="2"/>
    <x v="1"/>
    <n v="823605"/>
  </r>
  <r>
    <x v="161"/>
    <x v="0"/>
    <x v="2"/>
    <x v="2"/>
    <n v="860752"/>
  </r>
  <r>
    <x v="161"/>
    <x v="0"/>
    <x v="2"/>
    <x v="3"/>
    <n v="39320"/>
  </r>
  <r>
    <x v="161"/>
    <x v="0"/>
    <x v="2"/>
    <x v="4"/>
    <n v="80000"/>
  </r>
  <r>
    <x v="161"/>
    <x v="0"/>
    <x v="3"/>
    <x v="0"/>
    <n v="25246"/>
  </r>
  <r>
    <x v="161"/>
    <x v="0"/>
    <x v="3"/>
    <x v="2"/>
    <n v="5751"/>
  </r>
  <r>
    <x v="161"/>
    <x v="0"/>
    <x v="3"/>
    <x v="4"/>
    <n v="1500"/>
  </r>
  <r>
    <x v="161"/>
    <x v="0"/>
    <x v="3"/>
    <x v="6"/>
    <n v="500"/>
  </r>
  <r>
    <x v="161"/>
    <x v="0"/>
    <x v="8"/>
    <x v="3"/>
    <n v="1499"/>
  </r>
  <r>
    <x v="161"/>
    <x v="0"/>
    <x v="4"/>
    <x v="0"/>
    <n v="58406"/>
  </r>
  <r>
    <x v="161"/>
    <x v="0"/>
    <x v="4"/>
    <x v="2"/>
    <n v="9526"/>
  </r>
  <r>
    <x v="161"/>
    <x v="1"/>
    <x v="1"/>
    <x v="4"/>
    <n v="88690"/>
  </r>
  <r>
    <x v="161"/>
    <x v="1"/>
    <x v="2"/>
    <x v="3"/>
    <n v="7408"/>
  </r>
  <r>
    <x v="161"/>
    <x v="2"/>
    <x v="2"/>
    <x v="0"/>
    <n v="199623"/>
  </r>
  <r>
    <x v="161"/>
    <x v="2"/>
    <x v="2"/>
    <x v="1"/>
    <n v="67405"/>
  </r>
  <r>
    <x v="161"/>
    <x v="2"/>
    <x v="2"/>
    <x v="2"/>
    <n v="114282"/>
  </r>
  <r>
    <x v="161"/>
    <x v="2"/>
    <x v="2"/>
    <x v="3"/>
    <n v="672"/>
  </r>
  <r>
    <x v="161"/>
    <x v="2"/>
    <x v="3"/>
    <x v="0"/>
    <n v="3236"/>
  </r>
  <r>
    <x v="161"/>
    <x v="2"/>
    <x v="3"/>
    <x v="2"/>
    <n v="738"/>
  </r>
  <r>
    <x v="162"/>
    <x v="0"/>
    <x v="0"/>
    <x v="1"/>
    <n v="79101"/>
  </r>
  <r>
    <x v="162"/>
    <x v="0"/>
    <x v="0"/>
    <x v="2"/>
    <n v="28698"/>
  </r>
  <r>
    <x v="162"/>
    <x v="0"/>
    <x v="1"/>
    <x v="0"/>
    <n v="108315"/>
  </r>
  <r>
    <x v="162"/>
    <x v="0"/>
    <x v="1"/>
    <x v="2"/>
    <n v="37425"/>
  </r>
  <r>
    <x v="162"/>
    <x v="0"/>
    <x v="1"/>
    <x v="3"/>
    <n v="2000"/>
  </r>
  <r>
    <x v="162"/>
    <x v="0"/>
    <x v="1"/>
    <x v="4"/>
    <n v="81001"/>
  </r>
  <r>
    <x v="162"/>
    <x v="0"/>
    <x v="1"/>
    <x v="6"/>
    <n v="9250"/>
  </r>
  <r>
    <x v="162"/>
    <x v="0"/>
    <x v="2"/>
    <x v="0"/>
    <n v="552336"/>
  </r>
  <r>
    <x v="162"/>
    <x v="0"/>
    <x v="2"/>
    <x v="1"/>
    <n v="363481"/>
  </r>
  <r>
    <x v="162"/>
    <x v="0"/>
    <x v="2"/>
    <x v="2"/>
    <n v="408872"/>
  </r>
  <r>
    <x v="162"/>
    <x v="0"/>
    <x v="2"/>
    <x v="3"/>
    <n v="5600"/>
  </r>
  <r>
    <x v="162"/>
    <x v="0"/>
    <x v="2"/>
    <x v="4"/>
    <n v="2500"/>
  </r>
  <r>
    <x v="162"/>
    <x v="0"/>
    <x v="3"/>
    <x v="4"/>
    <n v="3500"/>
  </r>
  <r>
    <x v="162"/>
    <x v="0"/>
    <x v="3"/>
    <x v="6"/>
    <n v="700"/>
  </r>
  <r>
    <x v="162"/>
    <x v="0"/>
    <x v="6"/>
    <x v="3"/>
    <n v="3850"/>
  </r>
  <r>
    <x v="162"/>
    <x v="0"/>
    <x v="8"/>
    <x v="3"/>
    <n v="10500"/>
  </r>
  <r>
    <x v="162"/>
    <x v="0"/>
    <x v="4"/>
    <x v="0"/>
    <n v="8583"/>
  </r>
  <r>
    <x v="162"/>
    <x v="0"/>
    <x v="4"/>
    <x v="2"/>
    <n v="3327"/>
  </r>
  <r>
    <x v="162"/>
    <x v="2"/>
    <x v="1"/>
    <x v="3"/>
    <n v="2654"/>
  </r>
  <r>
    <x v="162"/>
    <x v="2"/>
    <x v="1"/>
    <x v="4"/>
    <n v="98945"/>
  </r>
  <r>
    <x v="162"/>
    <x v="2"/>
    <x v="2"/>
    <x v="0"/>
    <n v="18749"/>
  </r>
  <r>
    <x v="162"/>
    <x v="2"/>
    <x v="2"/>
    <x v="1"/>
    <n v="17016"/>
  </r>
  <r>
    <x v="162"/>
    <x v="2"/>
    <x v="2"/>
    <x v="2"/>
    <n v="18830"/>
  </r>
  <r>
    <x v="162"/>
    <x v="3"/>
    <x v="2"/>
    <x v="3"/>
    <n v="6091"/>
  </r>
  <r>
    <x v="163"/>
    <x v="0"/>
    <x v="0"/>
    <x v="0"/>
    <n v="144434"/>
  </r>
  <r>
    <x v="163"/>
    <x v="0"/>
    <x v="0"/>
    <x v="1"/>
    <n v="43719"/>
  </r>
  <r>
    <x v="163"/>
    <x v="0"/>
    <x v="0"/>
    <x v="2"/>
    <n v="67143"/>
  </r>
  <r>
    <x v="163"/>
    <x v="0"/>
    <x v="0"/>
    <x v="3"/>
    <n v="1200"/>
  </r>
  <r>
    <x v="163"/>
    <x v="0"/>
    <x v="0"/>
    <x v="4"/>
    <n v="1200"/>
  </r>
  <r>
    <x v="163"/>
    <x v="0"/>
    <x v="0"/>
    <x v="6"/>
    <n v="1200"/>
  </r>
  <r>
    <x v="163"/>
    <x v="0"/>
    <x v="0"/>
    <x v="7"/>
    <n v="200"/>
  </r>
  <r>
    <x v="163"/>
    <x v="0"/>
    <x v="1"/>
    <x v="0"/>
    <n v="492602"/>
  </r>
  <r>
    <x v="163"/>
    <x v="0"/>
    <x v="1"/>
    <x v="1"/>
    <n v="99168"/>
  </r>
  <r>
    <x v="163"/>
    <x v="0"/>
    <x v="1"/>
    <x v="2"/>
    <n v="233881"/>
  </r>
  <r>
    <x v="163"/>
    <x v="0"/>
    <x v="1"/>
    <x v="3"/>
    <n v="7500"/>
  </r>
  <r>
    <x v="163"/>
    <x v="0"/>
    <x v="1"/>
    <x v="4"/>
    <n v="454003"/>
  </r>
  <r>
    <x v="163"/>
    <x v="0"/>
    <x v="1"/>
    <x v="6"/>
    <n v="4000"/>
  </r>
  <r>
    <x v="163"/>
    <x v="0"/>
    <x v="1"/>
    <x v="7"/>
    <n v="2000"/>
  </r>
  <r>
    <x v="163"/>
    <x v="0"/>
    <x v="2"/>
    <x v="5"/>
    <n v="4000"/>
  </r>
  <r>
    <x v="163"/>
    <x v="0"/>
    <x v="2"/>
    <x v="0"/>
    <n v="986418"/>
  </r>
  <r>
    <x v="163"/>
    <x v="0"/>
    <x v="2"/>
    <x v="1"/>
    <n v="252340"/>
  </r>
  <r>
    <x v="163"/>
    <x v="0"/>
    <x v="2"/>
    <x v="2"/>
    <n v="565825"/>
  </r>
  <r>
    <x v="163"/>
    <x v="0"/>
    <x v="2"/>
    <x v="3"/>
    <n v="8000"/>
  </r>
  <r>
    <x v="163"/>
    <x v="0"/>
    <x v="2"/>
    <x v="4"/>
    <n v="9800"/>
  </r>
  <r>
    <x v="163"/>
    <x v="0"/>
    <x v="2"/>
    <x v="6"/>
    <n v="1000"/>
  </r>
  <r>
    <x v="163"/>
    <x v="0"/>
    <x v="2"/>
    <x v="7"/>
    <n v="2500"/>
  </r>
  <r>
    <x v="163"/>
    <x v="0"/>
    <x v="3"/>
    <x v="0"/>
    <n v="32579"/>
  </r>
  <r>
    <x v="163"/>
    <x v="0"/>
    <x v="3"/>
    <x v="1"/>
    <n v="1000"/>
  </r>
  <r>
    <x v="163"/>
    <x v="0"/>
    <x v="3"/>
    <x v="2"/>
    <n v="4540"/>
  </r>
  <r>
    <x v="163"/>
    <x v="0"/>
    <x v="3"/>
    <x v="3"/>
    <n v="1000"/>
  </r>
  <r>
    <x v="163"/>
    <x v="0"/>
    <x v="3"/>
    <x v="4"/>
    <n v="4000"/>
  </r>
  <r>
    <x v="163"/>
    <x v="0"/>
    <x v="3"/>
    <x v="6"/>
    <n v="500"/>
  </r>
  <r>
    <x v="163"/>
    <x v="0"/>
    <x v="6"/>
    <x v="7"/>
    <n v="500"/>
  </r>
  <r>
    <x v="163"/>
    <x v="0"/>
    <x v="8"/>
    <x v="3"/>
    <n v="2000"/>
  </r>
  <r>
    <x v="163"/>
    <x v="0"/>
    <x v="8"/>
    <x v="4"/>
    <n v="3556"/>
  </r>
  <r>
    <x v="163"/>
    <x v="2"/>
    <x v="2"/>
    <x v="1"/>
    <n v="213929"/>
  </r>
  <r>
    <x v="163"/>
    <x v="2"/>
    <x v="2"/>
    <x v="2"/>
    <n v="140268"/>
  </r>
  <r>
    <x v="163"/>
    <x v="2"/>
    <x v="2"/>
    <x v="4"/>
    <n v="79969"/>
  </r>
  <r>
    <x v="164"/>
    <x v="0"/>
    <x v="0"/>
    <x v="0"/>
    <n v="334198"/>
  </r>
  <r>
    <x v="164"/>
    <x v="0"/>
    <x v="0"/>
    <x v="1"/>
    <n v="134888"/>
  </r>
  <r>
    <x v="164"/>
    <x v="0"/>
    <x v="0"/>
    <x v="2"/>
    <n v="148618"/>
  </r>
  <r>
    <x v="164"/>
    <x v="0"/>
    <x v="0"/>
    <x v="4"/>
    <n v="13650"/>
  </r>
  <r>
    <x v="164"/>
    <x v="0"/>
    <x v="7"/>
    <x v="1"/>
    <n v="108683"/>
  </r>
  <r>
    <x v="164"/>
    <x v="0"/>
    <x v="7"/>
    <x v="2"/>
    <n v="59605"/>
  </r>
  <r>
    <x v="164"/>
    <x v="0"/>
    <x v="1"/>
    <x v="0"/>
    <n v="2529223"/>
  </r>
  <r>
    <x v="164"/>
    <x v="0"/>
    <x v="1"/>
    <x v="1"/>
    <n v="38076"/>
  </r>
  <r>
    <x v="164"/>
    <x v="0"/>
    <x v="1"/>
    <x v="2"/>
    <n v="872372"/>
  </r>
  <r>
    <x v="164"/>
    <x v="0"/>
    <x v="1"/>
    <x v="4"/>
    <n v="262500"/>
  </r>
  <r>
    <x v="164"/>
    <x v="0"/>
    <x v="2"/>
    <x v="5"/>
    <n v="26250"/>
  </r>
  <r>
    <x v="164"/>
    <x v="0"/>
    <x v="2"/>
    <x v="0"/>
    <n v="3403137"/>
  </r>
  <r>
    <x v="164"/>
    <x v="0"/>
    <x v="2"/>
    <x v="1"/>
    <n v="2077520"/>
  </r>
  <r>
    <x v="164"/>
    <x v="0"/>
    <x v="2"/>
    <x v="2"/>
    <n v="2518511"/>
  </r>
  <r>
    <x v="164"/>
    <x v="0"/>
    <x v="2"/>
    <x v="3"/>
    <n v="42286"/>
  </r>
  <r>
    <x v="164"/>
    <x v="0"/>
    <x v="5"/>
    <x v="4"/>
    <n v="105000"/>
  </r>
  <r>
    <x v="164"/>
    <x v="0"/>
    <x v="3"/>
    <x v="0"/>
    <n v="6000"/>
  </r>
  <r>
    <x v="164"/>
    <x v="0"/>
    <x v="3"/>
    <x v="2"/>
    <n v="1452"/>
  </r>
  <r>
    <x v="164"/>
    <x v="0"/>
    <x v="4"/>
    <x v="0"/>
    <n v="82753"/>
  </r>
  <r>
    <x v="164"/>
    <x v="0"/>
    <x v="4"/>
    <x v="2"/>
    <n v="18973"/>
  </r>
  <r>
    <x v="164"/>
    <x v="2"/>
    <x v="2"/>
    <x v="0"/>
    <n v="45857"/>
  </r>
  <r>
    <x v="164"/>
    <x v="2"/>
    <x v="2"/>
    <x v="1"/>
    <n v="1106653"/>
  </r>
  <r>
    <x v="164"/>
    <x v="2"/>
    <x v="2"/>
    <x v="2"/>
    <n v="686395"/>
  </r>
  <r>
    <x v="164"/>
    <x v="3"/>
    <x v="2"/>
    <x v="1"/>
    <n v="291286"/>
  </r>
  <r>
    <x v="164"/>
    <x v="3"/>
    <x v="2"/>
    <x v="2"/>
    <n v="171269"/>
  </r>
  <r>
    <x v="164"/>
    <x v="3"/>
    <x v="3"/>
    <x v="1"/>
    <n v="34000"/>
  </r>
  <r>
    <x v="164"/>
    <x v="3"/>
    <x v="3"/>
    <x v="2"/>
    <n v="4534"/>
  </r>
  <r>
    <x v="165"/>
    <x v="0"/>
    <x v="0"/>
    <x v="0"/>
    <n v="120635"/>
  </r>
  <r>
    <x v="165"/>
    <x v="0"/>
    <x v="0"/>
    <x v="1"/>
    <n v="47420"/>
  </r>
  <r>
    <x v="165"/>
    <x v="0"/>
    <x v="0"/>
    <x v="2"/>
    <n v="59325"/>
  </r>
  <r>
    <x v="165"/>
    <x v="0"/>
    <x v="0"/>
    <x v="3"/>
    <n v="1710"/>
  </r>
  <r>
    <x v="165"/>
    <x v="0"/>
    <x v="10"/>
    <x v="0"/>
    <n v="64954"/>
  </r>
  <r>
    <x v="165"/>
    <x v="0"/>
    <x v="10"/>
    <x v="1"/>
    <n v="78831"/>
  </r>
  <r>
    <x v="165"/>
    <x v="0"/>
    <x v="10"/>
    <x v="2"/>
    <n v="61340"/>
  </r>
  <r>
    <x v="165"/>
    <x v="0"/>
    <x v="1"/>
    <x v="0"/>
    <n v="178458"/>
  </r>
  <r>
    <x v="165"/>
    <x v="0"/>
    <x v="1"/>
    <x v="1"/>
    <n v="34432"/>
  </r>
  <r>
    <x v="165"/>
    <x v="0"/>
    <x v="1"/>
    <x v="2"/>
    <n v="85193"/>
  </r>
  <r>
    <x v="165"/>
    <x v="0"/>
    <x v="1"/>
    <x v="4"/>
    <n v="618533"/>
  </r>
  <r>
    <x v="165"/>
    <x v="0"/>
    <x v="2"/>
    <x v="0"/>
    <n v="907490"/>
  </r>
  <r>
    <x v="165"/>
    <x v="0"/>
    <x v="2"/>
    <x v="1"/>
    <n v="605190"/>
  </r>
  <r>
    <x v="165"/>
    <x v="0"/>
    <x v="2"/>
    <x v="2"/>
    <n v="753883"/>
  </r>
  <r>
    <x v="165"/>
    <x v="0"/>
    <x v="2"/>
    <x v="3"/>
    <n v="485453"/>
  </r>
  <r>
    <x v="165"/>
    <x v="0"/>
    <x v="2"/>
    <x v="4"/>
    <n v="-340000"/>
  </r>
  <r>
    <x v="165"/>
    <x v="0"/>
    <x v="4"/>
    <x v="0"/>
    <n v="23469"/>
  </r>
  <r>
    <x v="165"/>
    <x v="0"/>
    <x v="4"/>
    <x v="2"/>
    <n v="5416"/>
  </r>
  <r>
    <x v="165"/>
    <x v="1"/>
    <x v="2"/>
    <x v="2"/>
    <n v="52381"/>
  </r>
  <r>
    <x v="165"/>
    <x v="2"/>
    <x v="1"/>
    <x v="0"/>
    <n v="182839"/>
  </r>
  <r>
    <x v="165"/>
    <x v="2"/>
    <x v="1"/>
    <x v="2"/>
    <n v="42138"/>
  </r>
  <r>
    <x v="165"/>
    <x v="2"/>
    <x v="2"/>
    <x v="0"/>
    <n v="162263"/>
  </r>
  <r>
    <x v="165"/>
    <x v="2"/>
    <x v="2"/>
    <x v="1"/>
    <n v="83419"/>
  </r>
  <r>
    <x v="165"/>
    <x v="2"/>
    <x v="2"/>
    <x v="2"/>
    <n v="28734"/>
  </r>
  <r>
    <x v="166"/>
    <x v="0"/>
    <x v="1"/>
    <x v="4"/>
    <n v="70000"/>
  </r>
  <r>
    <x v="166"/>
    <x v="0"/>
    <x v="2"/>
    <x v="0"/>
    <n v="30132"/>
  </r>
  <r>
    <x v="166"/>
    <x v="0"/>
    <x v="2"/>
    <x v="1"/>
    <n v="25462"/>
  </r>
  <r>
    <x v="166"/>
    <x v="0"/>
    <x v="2"/>
    <x v="2"/>
    <n v="26856"/>
  </r>
  <r>
    <x v="166"/>
    <x v="0"/>
    <x v="2"/>
    <x v="3"/>
    <n v="499"/>
  </r>
  <r>
    <x v="166"/>
    <x v="0"/>
    <x v="2"/>
    <x v="4"/>
    <n v="4000"/>
  </r>
  <r>
    <x v="166"/>
    <x v="2"/>
    <x v="1"/>
    <x v="4"/>
    <n v="11000"/>
  </r>
  <r>
    <x v="167"/>
    <x v="0"/>
    <x v="0"/>
    <x v="0"/>
    <n v="436595"/>
  </r>
  <r>
    <x v="167"/>
    <x v="0"/>
    <x v="0"/>
    <x v="1"/>
    <n v="134410"/>
  </r>
  <r>
    <x v="167"/>
    <x v="0"/>
    <x v="0"/>
    <x v="2"/>
    <n v="186760"/>
  </r>
  <r>
    <x v="167"/>
    <x v="0"/>
    <x v="0"/>
    <x v="3"/>
    <n v="200"/>
  </r>
  <r>
    <x v="167"/>
    <x v="0"/>
    <x v="0"/>
    <x v="4"/>
    <n v="21488"/>
  </r>
  <r>
    <x v="167"/>
    <x v="0"/>
    <x v="0"/>
    <x v="6"/>
    <n v="2800"/>
  </r>
  <r>
    <x v="167"/>
    <x v="0"/>
    <x v="1"/>
    <x v="0"/>
    <n v="7175582"/>
  </r>
  <r>
    <x v="167"/>
    <x v="0"/>
    <x v="1"/>
    <x v="1"/>
    <n v="447992"/>
  </r>
  <r>
    <x v="167"/>
    <x v="0"/>
    <x v="1"/>
    <x v="2"/>
    <n v="2880161"/>
  </r>
  <r>
    <x v="167"/>
    <x v="0"/>
    <x v="1"/>
    <x v="3"/>
    <n v="45600"/>
  </r>
  <r>
    <x v="167"/>
    <x v="0"/>
    <x v="1"/>
    <x v="4"/>
    <n v="2500"/>
  </r>
  <r>
    <x v="167"/>
    <x v="0"/>
    <x v="1"/>
    <x v="6"/>
    <n v="2000"/>
  </r>
  <r>
    <x v="167"/>
    <x v="0"/>
    <x v="2"/>
    <x v="5"/>
    <n v="14000"/>
  </r>
  <r>
    <x v="167"/>
    <x v="0"/>
    <x v="2"/>
    <x v="0"/>
    <n v="9919770"/>
  </r>
  <r>
    <x v="167"/>
    <x v="0"/>
    <x v="2"/>
    <x v="1"/>
    <n v="9013773"/>
  </r>
  <r>
    <x v="167"/>
    <x v="0"/>
    <x v="2"/>
    <x v="2"/>
    <n v="9137588"/>
  </r>
  <r>
    <x v="167"/>
    <x v="0"/>
    <x v="2"/>
    <x v="3"/>
    <n v="74494"/>
  </r>
  <r>
    <x v="167"/>
    <x v="0"/>
    <x v="2"/>
    <x v="4"/>
    <n v="802579"/>
  </r>
  <r>
    <x v="167"/>
    <x v="0"/>
    <x v="2"/>
    <x v="6"/>
    <n v="5500"/>
  </r>
  <r>
    <x v="167"/>
    <x v="0"/>
    <x v="3"/>
    <x v="0"/>
    <n v="418157"/>
  </r>
  <r>
    <x v="167"/>
    <x v="0"/>
    <x v="3"/>
    <x v="1"/>
    <n v="32000"/>
  </r>
  <r>
    <x v="167"/>
    <x v="0"/>
    <x v="3"/>
    <x v="2"/>
    <n v="108233"/>
  </r>
  <r>
    <x v="167"/>
    <x v="0"/>
    <x v="3"/>
    <x v="4"/>
    <n v="9600"/>
  </r>
  <r>
    <x v="167"/>
    <x v="0"/>
    <x v="3"/>
    <x v="6"/>
    <n v="2500"/>
  </r>
  <r>
    <x v="167"/>
    <x v="0"/>
    <x v="6"/>
    <x v="3"/>
    <n v="5000"/>
  </r>
  <r>
    <x v="167"/>
    <x v="0"/>
    <x v="8"/>
    <x v="3"/>
    <n v="12597"/>
  </r>
  <r>
    <x v="167"/>
    <x v="0"/>
    <x v="8"/>
    <x v="4"/>
    <n v="70015"/>
  </r>
  <r>
    <x v="167"/>
    <x v="0"/>
    <x v="4"/>
    <x v="0"/>
    <n v="305296"/>
  </r>
  <r>
    <x v="167"/>
    <x v="0"/>
    <x v="4"/>
    <x v="2"/>
    <n v="73369"/>
  </r>
  <r>
    <x v="167"/>
    <x v="1"/>
    <x v="2"/>
    <x v="0"/>
    <n v="464038"/>
  </r>
  <r>
    <x v="167"/>
    <x v="1"/>
    <x v="2"/>
    <x v="1"/>
    <n v="21655"/>
  </r>
  <r>
    <x v="167"/>
    <x v="1"/>
    <x v="2"/>
    <x v="2"/>
    <n v="190032"/>
  </r>
  <r>
    <x v="167"/>
    <x v="1"/>
    <x v="8"/>
    <x v="3"/>
    <n v="59543"/>
  </r>
  <r>
    <x v="167"/>
    <x v="2"/>
    <x v="2"/>
    <x v="0"/>
    <n v="1453578"/>
  </r>
  <r>
    <x v="167"/>
    <x v="2"/>
    <x v="2"/>
    <x v="1"/>
    <n v="250750"/>
  </r>
  <r>
    <x v="167"/>
    <x v="2"/>
    <x v="2"/>
    <x v="2"/>
    <n v="691773"/>
  </r>
  <r>
    <x v="167"/>
    <x v="3"/>
    <x v="0"/>
    <x v="4"/>
    <n v="115000"/>
  </r>
  <r>
    <x v="168"/>
    <x v="0"/>
    <x v="2"/>
    <x v="0"/>
    <n v="52977"/>
  </r>
  <r>
    <x v="168"/>
    <x v="0"/>
    <x v="2"/>
    <x v="1"/>
    <n v="129436"/>
  </r>
  <r>
    <x v="168"/>
    <x v="0"/>
    <x v="2"/>
    <x v="2"/>
    <n v="121367"/>
  </r>
  <r>
    <x v="168"/>
    <x v="0"/>
    <x v="2"/>
    <x v="6"/>
    <n v="500"/>
  </r>
  <r>
    <x v="168"/>
    <x v="0"/>
    <x v="3"/>
    <x v="3"/>
    <n v="500"/>
  </r>
  <r>
    <x v="168"/>
    <x v="0"/>
    <x v="3"/>
    <x v="4"/>
    <n v="500"/>
  </r>
  <r>
    <x v="168"/>
    <x v="0"/>
    <x v="3"/>
    <x v="6"/>
    <n v="500"/>
  </r>
  <r>
    <x v="168"/>
    <x v="0"/>
    <x v="8"/>
    <x v="3"/>
    <n v="15500"/>
  </r>
  <r>
    <x v="168"/>
    <x v="2"/>
    <x v="1"/>
    <x v="0"/>
    <n v="19800"/>
  </r>
  <r>
    <x v="168"/>
    <x v="2"/>
    <x v="1"/>
    <x v="2"/>
    <n v="8716"/>
  </r>
  <r>
    <x v="168"/>
    <x v="2"/>
    <x v="1"/>
    <x v="4"/>
    <n v="27568"/>
  </r>
  <r>
    <x v="169"/>
    <x v="0"/>
    <x v="0"/>
    <x v="5"/>
    <n v="2000"/>
  </r>
  <r>
    <x v="169"/>
    <x v="0"/>
    <x v="0"/>
    <x v="0"/>
    <n v="1644396"/>
  </r>
  <r>
    <x v="169"/>
    <x v="0"/>
    <x v="0"/>
    <x v="1"/>
    <n v="597466"/>
  </r>
  <r>
    <x v="169"/>
    <x v="0"/>
    <x v="0"/>
    <x v="2"/>
    <n v="678824"/>
  </r>
  <r>
    <x v="169"/>
    <x v="0"/>
    <x v="0"/>
    <x v="3"/>
    <n v="8200"/>
  </r>
  <r>
    <x v="169"/>
    <x v="0"/>
    <x v="0"/>
    <x v="4"/>
    <n v="90444"/>
  </r>
  <r>
    <x v="169"/>
    <x v="0"/>
    <x v="0"/>
    <x v="6"/>
    <n v="49000"/>
  </r>
  <r>
    <x v="169"/>
    <x v="0"/>
    <x v="10"/>
    <x v="0"/>
    <n v="5500"/>
  </r>
  <r>
    <x v="169"/>
    <x v="0"/>
    <x v="10"/>
    <x v="2"/>
    <n v="1284"/>
  </r>
  <r>
    <x v="169"/>
    <x v="0"/>
    <x v="9"/>
    <x v="4"/>
    <n v="10000"/>
  </r>
  <r>
    <x v="169"/>
    <x v="0"/>
    <x v="1"/>
    <x v="0"/>
    <n v="9362490"/>
  </r>
  <r>
    <x v="169"/>
    <x v="0"/>
    <x v="1"/>
    <x v="1"/>
    <n v="884412"/>
  </r>
  <r>
    <x v="169"/>
    <x v="0"/>
    <x v="1"/>
    <x v="2"/>
    <n v="3634442"/>
  </r>
  <r>
    <x v="169"/>
    <x v="0"/>
    <x v="1"/>
    <x v="3"/>
    <n v="106419"/>
  </r>
  <r>
    <x v="169"/>
    <x v="0"/>
    <x v="1"/>
    <x v="4"/>
    <n v="562442"/>
  </r>
  <r>
    <x v="169"/>
    <x v="0"/>
    <x v="1"/>
    <x v="6"/>
    <n v="10000"/>
  </r>
  <r>
    <x v="169"/>
    <x v="0"/>
    <x v="2"/>
    <x v="5"/>
    <n v="35000"/>
  </r>
  <r>
    <x v="169"/>
    <x v="0"/>
    <x v="2"/>
    <x v="0"/>
    <n v="15259478"/>
  </r>
  <r>
    <x v="169"/>
    <x v="0"/>
    <x v="2"/>
    <x v="1"/>
    <n v="15527405"/>
  </r>
  <r>
    <x v="169"/>
    <x v="0"/>
    <x v="2"/>
    <x v="2"/>
    <n v="12903062"/>
  </r>
  <r>
    <x v="169"/>
    <x v="0"/>
    <x v="2"/>
    <x v="3"/>
    <n v="62643"/>
  </r>
  <r>
    <x v="169"/>
    <x v="0"/>
    <x v="2"/>
    <x v="4"/>
    <n v="4006675"/>
  </r>
  <r>
    <x v="169"/>
    <x v="0"/>
    <x v="2"/>
    <x v="6"/>
    <n v="2000"/>
  </r>
  <r>
    <x v="169"/>
    <x v="0"/>
    <x v="5"/>
    <x v="4"/>
    <n v="240000"/>
  </r>
  <r>
    <x v="169"/>
    <x v="0"/>
    <x v="3"/>
    <x v="0"/>
    <n v="148003"/>
  </r>
  <r>
    <x v="169"/>
    <x v="0"/>
    <x v="3"/>
    <x v="1"/>
    <n v="32520"/>
  </r>
  <r>
    <x v="169"/>
    <x v="0"/>
    <x v="3"/>
    <x v="2"/>
    <n v="38297"/>
  </r>
  <r>
    <x v="169"/>
    <x v="0"/>
    <x v="3"/>
    <x v="3"/>
    <n v="5000"/>
  </r>
  <r>
    <x v="169"/>
    <x v="0"/>
    <x v="3"/>
    <x v="4"/>
    <n v="2000"/>
  </r>
  <r>
    <x v="169"/>
    <x v="0"/>
    <x v="8"/>
    <x v="3"/>
    <n v="36813"/>
  </r>
  <r>
    <x v="169"/>
    <x v="0"/>
    <x v="8"/>
    <x v="4"/>
    <n v="22134"/>
  </r>
  <r>
    <x v="169"/>
    <x v="0"/>
    <x v="4"/>
    <x v="0"/>
    <n v="366211"/>
  </r>
  <r>
    <x v="169"/>
    <x v="0"/>
    <x v="4"/>
    <x v="2"/>
    <n v="85025"/>
  </r>
  <r>
    <x v="169"/>
    <x v="1"/>
    <x v="2"/>
    <x v="0"/>
    <n v="196286"/>
  </r>
  <r>
    <x v="169"/>
    <x v="1"/>
    <x v="2"/>
    <x v="1"/>
    <n v="280968"/>
  </r>
  <r>
    <x v="169"/>
    <x v="1"/>
    <x v="2"/>
    <x v="2"/>
    <n v="102820"/>
  </r>
  <r>
    <x v="169"/>
    <x v="1"/>
    <x v="2"/>
    <x v="4"/>
    <n v="82601"/>
  </r>
  <r>
    <x v="169"/>
    <x v="2"/>
    <x v="0"/>
    <x v="3"/>
    <n v="35493"/>
  </r>
  <r>
    <x v="169"/>
    <x v="2"/>
    <x v="1"/>
    <x v="0"/>
    <n v="773029"/>
  </r>
  <r>
    <x v="169"/>
    <x v="2"/>
    <x v="1"/>
    <x v="1"/>
    <n v="145553"/>
  </r>
  <r>
    <x v="169"/>
    <x v="2"/>
    <x v="1"/>
    <x v="2"/>
    <n v="320969"/>
  </r>
  <r>
    <x v="169"/>
    <x v="2"/>
    <x v="2"/>
    <x v="0"/>
    <n v="867678"/>
  </r>
  <r>
    <x v="169"/>
    <x v="2"/>
    <x v="2"/>
    <x v="1"/>
    <n v="1020082"/>
  </r>
  <r>
    <x v="169"/>
    <x v="2"/>
    <x v="2"/>
    <x v="2"/>
    <n v="768012"/>
  </r>
  <r>
    <x v="169"/>
    <x v="2"/>
    <x v="2"/>
    <x v="4"/>
    <n v="800000"/>
  </r>
  <r>
    <x v="169"/>
    <x v="2"/>
    <x v="5"/>
    <x v="4"/>
    <n v="200000"/>
  </r>
  <r>
    <x v="169"/>
    <x v="2"/>
    <x v="3"/>
    <x v="0"/>
    <n v="24187"/>
  </r>
  <r>
    <x v="169"/>
    <x v="2"/>
    <x v="3"/>
    <x v="2"/>
    <n v="5537"/>
  </r>
  <r>
    <x v="170"/>
    <x v="0"/>
    <x v="0"/>
    <x v="0"/>
    <n v="386947"/>
  </r>
  <r>
    <x v="170"/>
    <x v="0"/>
    <x v="0"/>
    <x v="1"/>
    <n v="137456"/>
  </r>
  <r>
    <x v="170"/>
    <x v="0"/>
    <x v="0"/>
    <x v="2"/>
    <n v="171143"/>
  </r>
  <r>
    <x v="170"/>
    <x v="0"/>
    <x v="1"/>
    <x v="0"/>
    <n v="2167398"/>
  </r>
  <r>
    <x v="170"/>
    <x v="0"/>
    <x v="1"/>
    <x v="1"/>
    <n v="86914"/>
  </r>
  <r>
    <x v="170"/>
    <x v="0"/>
    <x v="1"/>
    <x v="2"/>
    <n v="816430"/>
  </r>
  <r>
    <x v="170"/>
    <x v="0"/>
    <x v="2"/>
    <x v="0"/>
    <n v="5802066"/>
  </r>
  <r>
    <x v="170"/>
    <x v="0"/>
    <x v="2"/>
    <x v="1"/>
    <n v="3550536"/>
  </r>
  <r>
    <x v="170"/>
    <x v="0"/>
    <x v="2"/>
    <x v="2"/>
    <n v="4214695"/>
  </r>
  <r>
    <x v="170"/>
    <x v="0"/>
    <x v="3"/>
    <x v="0"/>
    <n v="459250"/>
  </r>
  <r>
    <x v="170"/>
    <x v="0"/>
    <x v="3"/>
    <x v="1"/>
    <n v="100315"/>
  </r>
  <r>
    <x v="170"/>
    <x v="0"/>
    <x v="3"/>
    <x v="2"/>
    <n v="191545"/>
  </r>
  <r>
    <x v="170"/>
    <x v="0"/>
    <x v="4"/>
    <x v="0"/>
    <n v="133522"/>
  </r>
  <r>
    <x v="170"/>
    <x v="0"/>
    <x v="4"/>
    <x v="2"/>
    <n v="48689"/>
  </r>
  <r>
    <x v="170"/>
    <x v="1"/>
    <x v="2"/>
    <x v="1"/>
    <n v="247048"/>
  </r>
  <r>
    <x v="170"/>
    <x v="1"/>
    <x v="2"/>
    <x v="2"/>
    <n v="155274"/>
  </r>
  <r>
    <x v="170"/>
    <x v="2"/>
    <x v="2"/>
    <x v="1"/>
    <n v="705858"/>
  </r>
  <r>
    <x v="170"/>
    <x v="2"/>
    <x v="2"/>
    <x v="2"/>
    <n v="434721"/>
  </r>
  <r>
    <x v="170"/>
    <x v="3"/>
    <x v="1"/>
    <x v="4"/>
    <n v="271047"/>
  </r>
  <r>
    <x v="171"/>
    <x v="0"/>
    <x v="0"/>
    <x v="0"/>
    <n v="31233"/>
  </r>
  <r>
    <x v="171"/>
    <x v="0"/>
    <x v="0"/>
    <x v="2"/>
    <n v="8729"/>
  </r>
  <r>
    <x v="171"/>
    <x v="0"/>
    <x v="1"/>
    <x v="4"/>
    <n v="27005"/>
  </r>
  <r>
    <x v="171"/>
    <x v="0"/>
    <x v="2"/>
    <x v="0"/>
    <n v="46957"/>
  </r>
  <r>
    <x v="171"/>
    <x v="0"/>
    <x v="2"/>
    <x v="1"/>
    <n v="34687"/>
  </r>
  <r>
    <x v="171"/>
    <x v="0"/>
    <x v="2"/>
    <x v="2"/>
    <n v="42020"/>
  </r>
  <r>
    <x v="171"/>
    <x v="0"/>
    <x v="2"/>
    <x v="3"/>
    <n v="5036"/>
  </r>
  <r>
    <x v="171"/>
    <x v="2"/>
    <x v="1"/>
    <x v="4"/>
    <n v="28553"/>
  </r>
  <r>
    <x v="172"/>
    <x v="0"/>
    <x v="1"/>
    <x v="4"/>
    <n v="120040"/>
  </r>
  <r>
    <x v="172"/>
    <x v="0"/>
    <x v="2"/>
    <x v="0"/>
    <n v="186567"/>
  </r>
  <r>
    <x v="172"/>
    <x v="0"/>
    <x v="2"/>
    <x v="1"/>
    <n v="120254"/>
  </r>
  <r>
    <x v="172"/>
    <x v="0"/>
    <x v="2"/>
    <x v="2"/>
    <n v="111474"/>
  </r>
  <r>
    <x v="172"/>
    <x v="0"/>
    <x v="2"/>
    <x v="3"/>
    <n v="1000"/>
  </r>
  <r>
    <x v="172"/>
    <x v="0"/>
    <x v="2"/>
    <x v="4"/>
    <n v="60000"/>
  </r>
  <r>
    <x v="172"/>
    <x v="0"/>
    <x v="4"/>
    <x v="0"/>
    <n v="3092"/>
  </r>
  <r>
    <x v="172"/>
    <x v="0"/>
    <x v="4"/>
    <x v="2"/>
    <n v="726"/>
  </r>
  <r>
    <x v="172"/>
    <x v="2"/>
    <x v="1"/>
    <x v="4"/>
    <n v="53873"/>
  </r>
  <r>
    <x v="172"/>
    <x v="2"/>
    <x v="2"/>
    <x v="6"/>
    <n v="476"/>
  </r>
  <r>
    <x v="172"/>
    <x v="3"/>
    <x v="1"/>
    <x v="4"/>
    <n v="2500"/>
  </r>
  <r>
    <x v="172"/>
    <x v="3"/>
    <x v="2"/>
    <x v="3"/>
    <n v="9800"/>
  </r>
  <r>
    <x v="172"/>
    <x v="3"/>
    <x v="5"/>
    <x v="4"/>
    <n v="9200"/>
  </r>
  <r>
    <x v="173"/>
    <x v="0"/>
    <x v="5"/>
    <x v="4"/>
    <n v="1703247"/>
  </r>
  <r>
    <x v="174"/>
    <x v="0"/>
    <x v="0"/>
    <x v="0"/>
    <n v="51219"/>
  </r>
  <r>
    <x v="174"/>
    <x v="0"/>
    <x v="0"/>
    <x v="1"/>
    <n v="21220"/>
  </r>
  <r>
    <x v="174"/>
    <x v="0"/>
    <x v="0"/>
    <x v="2"/>
    <n v="29793"/>
  </r>
  <r>
    <x v="174"/>
    <x v="0"/>
    <x v="2"/>
    <x v="0"/>
    <n v="271829"/>
  </r>
  <r>
    <x v="174"/>
    <x v="0"/>
    <x v="2"/>
    <x v="1"/>
    <n v="216591"/>
  </r>
  <r>
    <x v="174"/>
    <x v="0"/>
    <x v="2"/>
    <x v="2"/>
    <n v="253784"/>
  </r>
  <r>
    <x v="174"/>
    <x v="2"/>
    <x v="1"/>
    <x v="4"/>
    <n v="150725"/>
  </r>
  <r>
    <x v="174"/>
    <x v="2"/>
    <x v="2"/>
    <x v="0"/>
    <n v="19204"/>
  </r>
  <r>
    <x v="174"/>
    <x v="2"/>
    <x v="2"/>
    <x v="2"/>
    <n v="6845"/>
  </r>
  <r>
    <x v="175"/>
    <x v="0"/>
    <x v="1"/>
    <x v="4"/>
    <n v="50000"/>
  </r>
  <r>
    <x v="175"/>
    <x v="0"/>
    <x v="2"/>
    <x v="0"/>
    <n v="63708"/>
  </r>
  <r>
    <x v="175"/>
    <x v="0"/>
    <x v="2"/>
    <x v="1"/>
    <n v="125716"/>
  </r>
  <r>
    <x v="175"/>
    <x v="0"/>
    <x v="2"/>
    <x v="2"/>
    <n v="130882"/>
  </r>
  <r>
    <x v="175"/>
    <x v="0"/>
    <x v="2"/>
    <x v="3"/>
    <n v="700"/>
  </r>
  <r>
    <x v="175"/>
    <x v="0"/>
    <x v="8"/>
    <x v="3"/>
    <n v="2500"/>
  </r>
  <r>
    <x v="175"/>
    <x v="0"/>
    <x v="8"/>
    <x v="6"/>
    <n v="1000"/>
  </r>
  <r>
    <x v="175"/>
    <x v="0"/>
    <x v="4"/>
    <x v="0"/>
    <n v="1034"/>
  </r>
  <r>
    <x v="175"/>
    <x v="0"/>
    <x v="4"/>
    <x v="2"/>
    <n v="441"/>
  </r>
  <r>
    <x v="175"/>
    <x v="2"/>
    <x v="1"/>
    <x v="4"/>
    <n v="54027"/>
  </r>
  <r>
    <x v="176"/>
    <x v="0"/>
    <x v="0"/>
    <x v="0"/>
    <n v="135549"/>
  </r>
  <r>
    <x v="176"/>
    <x v="0"/>
    <x v="0"/>
    <x v="1"/>
    <n v="29118"/>
  </r>
  <r>
    <x v="176"/>
    <x v="0"/>
    <x v="0"/>
    <x v="2"/>
    <n v="61842"/>
  </r>
  <r>
    <x v="176"/>
    <x v="0"/>
    <x v="0"/>
    <x v="3"/>
    <n v="1000"/>
  </r>
  <r>
    <x v="176"/>
    <x v="0"/>
    <x v="1"/>
    <x v="0"/>
    <n v="104840"/>
  </r>
  <r>
    <x v="176"/>
    <x v="0"/>
    <x v="1"/>
    <x v="2"/>
    <n v="36404"/>
  </r>
  <r>
    <x v="176"/>
    <x v="0"/>
    <x v="1"/>
    <x v="3"/>
    <n v="1000"/>
  </r>
  <r>
    <x v="176"/>
    <x v="0"/>
    <x v="1"/>
    <x v="4"/>
    <n v="1000"/>
  </r>
  <r>
    <x v="176"/>
    <x v="0"/>
    <x v="1"/>
    <x v="6"/>
    <n v="500"/>
  </r>
  <r>
    <x v="176"/>
    <x v="0"/>
    <x v="2"/>
    <x v="0"/>
    <n v="420540"/>
  </r>
  <r>
    <x v="176"/>
    <x v="0"/>
    <x v="2"/>
    <x v="1"/>
    <n v="428162"/>
  </r>
  <r>
    <x v="176"/>
    <x v="0"/>
    <x v="2"/>
    <x v="2"/>
    <n v="422008"/>
  </r>
  <r>
    <x v="176"/>
    <x v="0"/>
    <x v="2"/>
    <x v="3"/>
    <n v="8745"/>
  </r>
  <r>
    <x v="176"/>
    <x v="0"/>
    <x v="2"/>
    <x v="4"/>
    <n v="170250"/>
  </r>
  <r>
    <x v="176"/>
    <x v="0"/>
    <x v="2"/>
    <x v="6"/>
    <n v="1500"/>
  </r>
  <r>
    <x v="176"/>
    <x v="0"/>
    <x v="3"/>
    <x v="3"/>
    <n v="200"/>
  </r>
  <r>
    <x v="176"/>
    <x v="0"/>
    <x v="3"/>
    <x v="4"/>
    <n v="5500"/>
  </r>
  <r>
    <x v="176"/>
    <x v="0"/>
    <x v="3"/>
    <x v="6"/>
    <n v="500"/>
  </r>
  <r>
    <x v="176"/>
    <x v="0"/>
    <x v="6"/>
    <x v="3"/>
    <n v="7000"/>
  </r>
  <r>
    <x v="176"/>
    <x v="0"/>
    <x v="8"/>
    <x v="3"/>
    <n v="500"/>
  </r>
  <r>
    <x v="176"/>
    <x v="0"/>
    <x v="4"/>
    <x v="0"/>
    <n v="10095"/>
  </r>
  <r>
    <x v="176"/>
    <x v="0"/>
    <x v="4"/>
    <x v="2"/>
    <n v="2397"/>
  </r>
  <r>
    <x v="176"/>
    <x v="2"/>
    <x v="2"/>
    <x v="1"/>
    <n v="113823"/>
  </r>
  <r>
    <x v="176"/>
    <x v="2"/>
    <x v="2"/>
    <x v="2"/>
    <n v="62797"/>
  </r>
  <r>
    <x v="176"/>
    <x v="2"/>
    <x v="2"/>
    <x v="4"/>
    <n v="48480"/>
  </r>
  <r>
    <x v="177"/>
    <x v="0"/>
    <x v="0"/>
    <x v="0"/>
    <n v="451293"/>
  </r>
  <r>
    <x v="177"/>
    <x v="0"/>
    <x v="0"/>
    <x v="1"/>
    <n v="329487"/>
  </r>
  <r>
    <x v="177"/>
    <x v="0"/>
    <x v="0"/>
    <x v="2"/>
    <n v="268351"/>
  </r>
  <r>
    <x v="177"/>
    <x v="0"/>
    <x v="0"/>
    <x v="3"/>
    <n v="10000"/>
  </r>
  <r>
    <x v="177"/>
    <x v="0"/>
    <x v="0"/>
    <x v="4"/>
    <n v="43000"/>
  </r>
  <r>
    <x v="177"/>
    <x v="0"/>
    <x v="7"/>
    <x v="4"/>
    <n v="13550"/>
  </r>
  <r>
    <x v="177"/>
    <x v="0"/>
    <x v="1"/>
    <x v="0"/>
    <n v="3763356"/>
  </r>
  <r>
    <x v="177"/>
    <x v="0"/>
    <x v="1"/>
    <x v="1"/>
    <n v="162832"/>
  </r>
  <r>
    <x v="177"/>
    <x v="0"/>
    <x v="1"/>
    <x v="2"/>
    <n v="1560117"/>
  </r>
  <r>
    <x v="177"/>
    <x v="0"/>
    <x v="1"/>
    <x v="3"/>
    <n v="68000"/>
  </r>
  <r>
    <x v="177"/>
    <x v="0"/>
    <x v="1"/>
    <x v="4"/>
    <n v="449897"/>
  </r>
  <r>
    <x v="177"/>
    <x v="0"/>
    <x v="2"/>
    <x v="5"/>
    <n v="19000"/>
  </r>
  <r>
    <x v="177"/>
    <x v="0"/>
    <x v="2"/>
    <x v="0"/>
    <n v="5691663"/>
  </r>
  <r>
    <x v="177"/>
    <x v="0"/>
    <x v="2"/>
    <x v="1"/>
    <n v="6398932"/>
  </r>
  <r>
    <x v="177"/>
    <x v="0"/>
    <x v="2"/>
    <x v="2"/>
    <n v="6403263"/>
  </r>
  <r>
    <x v="177"/>
    <x v="0"/>
    <x v="2"/>
    <x v="3"/>
    <n v="112231"/>
  </r>
  <r>
    <x v="177"/>
    <x v="0"/>
    <x v="2"/>
    <x v="4"/>
    <n v="1203000"/>
  </r>
  <r>
    <x v="177"/>
    <x v="0"/>
    <x v="3"/>
    <x v="0"/>
    <n v="149650"/>
  </r>
  <r>
    <x v="177"/>
    <x v="0"/>
    <x v="3"/>
    <x v="2"/>
    <n v="22620"/>
  </r>
  <r>
    <x v="177"/>
    <x v="0"/>
    <x v="4"/>
    <x v="0"/>
    <n v="112248"/>
  </r>
  <r>
    <x v="177"/>
    <x v="0"/>
    <x v="4"/>
    <x v="2"/>
    <n v="16885"/>
  </r>
  <r>
    <x v="177"/>
    <x v="1"/>
    <x v="0"/>
    <x v="0"/>
    <n v="135714"/>
  </r>
  <r>
    <x v="177"/>
    <x v="1"/>
    <x v="0"/>
    <x v="2"/>
    <n v="44257"/>
  </r>
  <r>
    <x v="177"/>
    <x v="1"/>
    <x v="2"/>
    <x v="0"/>
    <n v="30496"/>
  </r>
  <r>
    <x v="177"/>
    <x v="1"/>
    <x v="2"/>
    <x v="2"/>
    <n v="7673"/>
  </r>
  <r>
    <x v="177"/>
    <x v="1"/>
    <x v="2"/>
    <x v="3"/>
    <n v="84000"/>
  </r>
  <r>
    <x v="177"/>
    <x v="2"/>
    <x v="1"/>
    <x v="0"/>
    <n v="9278"/>
  </r>
  <r>
    <x v="177"/>
    <x v="2"/>
    <x v="1"/>
    <x v="2"/>
    <n v="3685"/>
  </r>
  <r>
    <x v="177"/>
    <x v="2"/>
    <x v="2"/>
    <x v="0"/>
    <n v="968373"/>
  </r>
  <r>
    <x v="177"/>
    <x v="2"/>
    <x v="2"/>
    <x v="1"/>
    <n v="361156"/>
  </r>
  <r>
    <x v="177"/>
    <x v="2"/>
    <x v="2"/>
    <x v="2"/>
    <n v="596037"/>
  </r>
  <r>
    <x v="177"/>
    <x v="2"/>
    <x v="2"/>
    <x v="3"/>
    <n v="2698"/>
  </r>
  <r>
    <x v="177"/>
    <x v="2"/>
    <x v="2"/>
    <x v="4"/>
    <n v="207745"/>
  </r>
  <r>
    <x v="178"/>
    <x v="0"/>
    <x v="0"/>
    <x v="0"/>
    <n v="128710"/>
  </r>
  <r>
    <x v="178"/>
    <x v="0"/>
    <x v="0"/>
    <x v="1"/>
    <n v="101305"/>
  </r>
  <r>
    <x v="178"/>
    <x v="0"/>
    <x v="0"/>
    <x v="2"/>
    <n v="97704"/>
  </r>
  <r>
    <x v="178"/>
    <x v="0"/>
    <x v="9"/>
    <x v="0"/>
    <n v="95044"/>
  </r>
  <r>
    <x v="178"/>
    <x v="0"/>
    <x v="9"/>
    <x v="2"/>
    <n v="35659"/>
  </r>
  <r>
    <x v="178"/>
    <x v="0"/>
    <x v="7"/>
    <x v="1"/>
    <n v="82051"/>
  </r>
  <r>
    <x v="178"/>
    <x v="0"/>
    <x v="7"/>
    <x v="2"/>
    <n v="59214"/>
  </r>
  <r>
    <x v="178"/>
    <x v="0"/>
    <x v="1"/>
    <x v="0"/>
    <n v="341323"/>
  </r>
  <r>
    <x v="178"/>
    <x v="0"/>
    <x v="1"/>
    <x v="1"/>
    <n v="21786"/>
  </r>
  <r>
    <x v="178"/>
    <x v="0"/>
    <x v="1"/>
    <x v="2"/>
    <n v="151603"/>
  </r>
  <r>
    <x v="178"/>
    <x v="0"/>
    <x v="2"/>
    <x v="0"/>
    <n v="3165571"/>
  </r>
  <r>
    <x v="178"/>
    <x v="0"/>
    <x v="2"/>
    <x v="1"/>
    <n v="918061"/>
  </r>
  <r>
    <x v="178"/>
    <x v="0"/>
    <x v="2"/>
    <x v="2"/>
    <n v="2040333"/>
  </r>
  <r>
    <x v="178"/>
    <x v="0"/>
    <x v="2"/>
    <x v="4"/>
    <n v="1897677"/>
  </r>
  <r>
    <x v="178"/>
    <x v="0"/>
    <x v="3"/>
    <x v="0"/>
    <n v="31107"/>
  </r>
  <r>
    <x v="178"/>
    <x v="0"/>
    <x v="3"/>
    <x v="2"/>
    <n v="8332"/>
  </r>
  <r>
    <x v="178"/>
    <x v="0"/>
    <x v="4"/>
    <x v="0"/>
    <n v="23561"/>
  </r>
  <r>
    <x v="178"/>
    <x v="0"/>
    <x v="4"/>
    <x v="2"/>
    <n v="9373"/>
  </r>
  <r>
    <x v="178"/>
    <x v="2"/>
    <x v="2"/>
    <x v="0"/>
    <n v="735866"/>
  </r>
  <r>
    <x v="178"/>
    <x v="2"/>
    <x v="2"/>
    <x v="1"/>
    <n v="22606"/>
  </r>
  <r>
    <x v="178"/>
    <x v="2"/>
    <x v="2"/>
    <x v="2"/>
    <n v="351073"/>
  </r>
  <r>
    <x v="178"/>
    <x v="2"/>
    <x v="2"/>
    <x v="4"/>
    <n v="48369"/>
  </r>
  <r>
    <x v="179"/>
    <x v="0"/>
    <x v="0"/>
    <x v="0"/>
    <n v="15000"/>
  </r>
  <r>
    <x v="179"/>
    <x v="0"/>
    <x v="0"/>
    <x v="2"/>
    <n v="4690"/>
  </r>
  <r>
    <x v="179"/>
    <x v="0"/>
    <x v="2"/>
    <x v="0"/>
    <n v="312809"/>
  </r>
  <r>
    <x v="179"/>
    <x v="0"/>
    <x v="2"/>
    <x v="1"/>
    <n v="297886"/>
  </r>
  <r>
    <x v="179"/>
    <x v="0"/>
    <x v="2"/>
    <x v="2"/>
    <n v="383224"/>
  </r>
  <r>
    <x v="179"/>
    <x v="0"/>
    <x v="2"/>
    <x v="3"/>
    <n v="15206"/>
  </r>
  <r>
    <x v="179"/>
    <x v="0"/>
    <x v="2"/>
    <x v="4"/>
    <n v="455585"/>
  </r>
  <r>
    <x v="179"/>
    <x v="0"/>
    <x v="6"/>
    <x v="3"/>
    <n v="2400"/>
  </r>
  <r>
    <x v="179"/>
    <x v="0"/>
    <x v="8"/>
    <x v="3"/>
    <n v="8800"/>
  </r>
  <r>
    <x v="179"/>
    <x v="0"/>
    <x v="4"/>
    <x v="0"/>
    <n v="4395"/>
  </r>
  <r>
    <x v="179"/>
    <x v="0"/>
    <x v="4"/>
    <x v="2"/>
    <n v="1921"/>
  </r>
  <r>
    <x v="179"/>
    <x v="2"/>
    <x v="1"/>
    <x v="4"/>
    <n v="179173"/>
  </r>
  <r>
    <x v="179"/>
    <x v="2"/>
    <x v="2"/>
    <x v="1"/>
    <n v="3175"/>
  </r>
  <r>
    <x v="179"/>
    <x v="2"/>
    <x v="2"/>
    <x v="2"/>
    <n v="2652"/>
  </r>
  <r>
    <x v="180"/>
    <x v="0"/>
    <x v="0"/>
    <x v="0"/>
    <n v="7125"/>
  </r>
  <r>
    <x v="180"/>
    <x v="0"/>
    <x v="0"/>
    <x v="2"/>
    <n v="3532"/>
  </r>
  <r>
    <x v="180"/>
    <x v="0"/>
    <x v="2"/>
    <x v="0"/>
    <n v="15711"/>
  </r>
  <r>
    <x v="180"/>
    <x v="0"/>
    <x v="2"/>
    <x v="1"/>
    <n v="13073"/>
  </r>
  <r>
    <x v="180"/>
    <x v="0"/>
    <x v="2"/>
    <x v="2"/>
    <n v="15662"/>
  </r>
  <r>
    <x v="180"/>
    <x v="0"/>
    <x v="2"/>
    <x v="3"/>
    <n v="1500"/>
  </r>
  <r>
    <x v="180"/>
    <x v="2"/>
    <x v="1"/>
    <x v="4"/>
    <n v="1001"/>
  </r>
  <r>
    <x v="180"/>
    <x v="2"/>
    <x v="2"/>
    <x v="1"/>
    <n v="11498"/>
  </r>
  <r>
    <x v="180"/>
    <x v="2"/>
    <x v="2"/>
    <x v="2"/>
    <n v="1115"/>
  </r>
  <r>
    <x v="181"/>
    <x v="0"/>
    <x v="1"/>
    <x v="0"/>
    <n v="113378"/>
  </r>
  <r>
    <x v="181"/>
    <x v="0"/>
    <x v="1"/>
    <x v="2"/>
    <n v="39246"/>
  </r>
  <r>
    <x v="181"/>
    <x v="0"/>
    <x v="1"/>
    <x v="4"/>
    <n v="306468"/>
  </r>
  <r>
    <x v="181"/>
    <x v="0"/>
    <x v="2"/>
    <x v="0"/>
    <n v="253321"/>
  </r>
  <r>
    <x v="181"/>
    <x v="0"/>
    <x v="2"/>
    <x v="1"/>
    <n v="507832"/>
  </r>
  <r>
    <x v="181"/>
    <x v="0"/>
    <x v="2"/>
    <x v="2"/>
    <n v="389184"/>
  </r>
  <r>
    <x v="181"/>
    <x v="0"/>
    <x v="2"/>
    <x v="3"/>
    <n v="11434"/>
  </r>
  <r>
    <x v="181"/>
    <x v="0"/>
    <x v="2"/>
    <x v="4"/>
    <n v="16007"/>
  </r>
  <r>
    <x v="181"/>
    <x v="0"/>
    <x v="2"/>
    <x v="6"/>
    <n v="3201"/>
  </r>
  <r>
    <x v="181"/>
    <x v="0"/>
    <x v="3"/>
    <x v="4"/>
    <n v="43"/>
  </r>
  <r>
    <x v="181"/>
    <x v="2"/>
    <x v="1"/>
    <x v="4"/>
    <n v="20000"/>
  </r>
  <r>
    <x v="181"/>
    <x v="2"/>
    <x v="2"/>
    <x v="0"/>
    <n v="98342"/>
  </r>
  <r>
    <x v="181"/>
    <x v="2"/>
    <x v="2"/>
    <x v="2"/>
    <n v="35857"/>
  </r>
  <r>
    <x v="181"/>
    <x v="2"/>
    <x v="2"/>
    <x v="3"/>
    <n v="4883"/>
  </r>
  <r>
    <x v="182"/>
    <x v="0"/>
    <x v="1"/>
    <x v="4"/>
    <n v="500"/>
  </r>
  <r>
    <x v="182"/>
    <x v="0"/>
    <x v="2"/>
    <x v="0"/>
    <n v="58717"/>
  </r>
  <r>
    <x v="182"/>
    <x v="0"/>
    <x v="2"/>
    <x v="2"/>
    <n v="25548"/>
  </r>
  <r>
    <x v="182"/>
    <x v="0"/>
    <x v="3"/>
    <x v="4"/>
    <n v="150"/>
  </r>
  <r>
    <x v="182"/>
    <x v="2"/>
    <x v="2"/>
    <x v="1"/>
    <n v="24867"/>
  </r>
  <r>
    <x v="182"/>
    <x v="2"/>
    <x v="2"/>
    <x v="2"/>
    <n v="17405"/>
  </r>
  <r>
    <x v="183"/>
    <x v="0"/>
    <x v="2"/>
    <x v="0"/>
    <n v="52047"/>
  </r>
  <r>
    <x v="183"/>
    <x v="0"/>
    <x v="2"/>
    <x v="2"/>
    <n v="24147"/>
  </r>
  <r>
    <x v="183"/>
    <x v="2"/>
    <x v="1"/>
    <x v="4"/>
    <n v="14000"/>
  </r>
  <r>
    <x v="184"/>
    <x v="0"/>
    <x v="0"/>
    <x v="0"/>
    <n v="55606"/>
  </r>
  <r>
    <x v="184"/>
    <x v="0"/>
    <x v="0"/>
    <x v="1"/>
    <n v="8358"/>
  </r>
  <r>
    <x v="184"/>
    <x v="0"/>
    <x v="0"/>
    <x v="2"/>
    <n v="20686"/>
  </r>
  <r>
    <x v="184"/>
    <x v="0"/>
    <x v="0"/>
    <x v="3"/>
    <n v="500"/>
  </r>
  <r>
    <x v="184"/>
    <x v="0"/>
    <x v="0"/>
    <x v="4"/>
    <n v="2500"/>
  </r>
  <r>
    <x v="184"/>
    <x v="0"/>
    <x v="0"/>
    <x v="6"/>
    <n v="1500"/>
  </r>
  <r>
    <x v="184"/>
    <x v="0"/>
    <x v="1"/>
    <x v="0"/>
    <n v="24171"/>
  </r>
  <r>
    <x v="184"/>
    <x v="0"/>
    <x v="1"/>
    <x v="1"/>
    <n v="20114"/>
  </r>
  <r>
    <x v="184"/>
    <x v="0"/>
    <x v="1"/>
    <x v="2"/>
    <n v="23422"/>
  </r>
  <r>
    <x v="184"/>
    <x v="0"/>
    <x v="1"/>
    <x v="3"/>
    <n v="2000"/>
  </r>
  <r>
    <x v="184"/>
    <x v="0"/>
    <x v="1"/>
    <x v="4"/>
    <n v="6000"/>
  </r>
  <r>
    <x v="184"/>
    <x v="0"/>
    <x v="2"/>
    <x v="0"/>
    <n v="201175"/>
  </r>
  <r>
    <x v="184"/>
    <x v="0"/>
    <x v="2"/>
    <x v="1"/>
    <n v="176045"/>
  </r>
  <r>
    <x v="184"/>
    <x v="0"/>
    <x v="2"/>
    <x v="2"/>
    <n v="183603"/>
  </r>
  <r>
    <x v="184"/>
    <x v="0"/>
    <x v="2"/>
    <x v="3"/>
    <n v="2000"/>
  </r>
  <r>
    <x v="184"/>
    <x v="0"/>
    <x v="2"/>
    <x v="4"/>
    <n v="121000"/>
  </r>
  <r>
    <x v="184"/>
    <x v="0"/>
    <x v="2"/>
    <x v="6"/>
    <n v="1000"/>
  </r>
  <r>
    <x v="184"/>
    <x v="0"/>
    <x v="3"/>
    <x v="4"/>
    <n v="1000"/>
  </r>
  <r>
    <x v="184"/>
    <x v="0"/>
    <x v="4"/>
    <x v="0"/>
    <n v="3476"/>
  </r>
  <r>
    <x v="184"/>
    <x v="0"/>
    <x v="4"/>
    <x v="2"/>
    <n v="810"/>
  </r>
  <r>
    <x v="184"/>
    <x v="2"/>
    <x v="1"/>
    <x v="1"/>
    <n v="6173"/>
  </r>
  <r>
    <x v="184"/>
    <x v="2"/>
    <x v="1"/>
    <x v="2"/>
    <n v="4144"/>
  </r>
  <r>
    <x v="184"/>
    <x v="2"/>
    <x v="2"/>
    <x v="0"/>
    <n v="9653"/>
  </r>
  <r>
    <x v="184"/>
    <x v="2"/>
    <x v="2"/>
    <x v="1"/>
    <n v="71262"/>
  </r>
  <r>
    <x v="184"/>
    <x v="2"/>
    <x v="2"/>
    <x v="2"/>
    <n v="56185"/>
  </r>
  <r>
    <x v="184"/>
    <x v="2"/>
    <x v="2"/>
    <x v="3"/>
    <n v="500"/>
  </r>
  <r>
    <x v="185"/>
    <x v="0"/>
    <x v="0"/>
    <x v="0"/>
    <n v="137774"/>
  </r>
  <r>
    <x v="185"/>
    <x v="0"/>
    <x v="0"/>
    <x v="1"/>
    <n v="109595"/>
  </r>
  <r>
    <x v="185"/>
    <x v="0"/>
    <x v="0"/>
    <x v="2"/>
    <n v="85613"/>
  </r>
  <r>
    <x v="185"/>
    <x v="0"/>
    <x v="0"/>
    <x v="3"/>
    <n v="1098"/>
  </r>
  <r>
    <x v="185"/>
    <x v="0"/>
    <x v="0"/>
    <x v="4"/>
    <n v="7500"/>
  </r>
  <r>
    <x v="185"/>
    <x v="0"/>
    <x v="0"/>
    <x v="6"/>
    <n v="300"/>
  </r>
  <r>
    <x v="185"/>
    <x v="0"/>
    <x v="1"/>
    <x v="0"/>
    <n v="440277"/>
  </r>
  <r>
    <x v="185"/>
    <x v="0"/>
    <x v="1"/>
    <x v="1"/>
    <n v="131238"/>
  </r>
  <r>
    <x v="185"/>
    <x v="0"/>
    <x v="1"/>
    <x v="2"/>
    <n v="240776"/>
  </r>
  <r>
    <x v="185"/>
    <x v="0"/>
    <x v="1"/>
    <x v="3"/>
    <n v="1500"/>
  </r>
  <r>
    <x v="185"/>
    <x v="0"/>
    <x v="1"/>
    <x v="4"/>
    <n v="267408"/>
  </r>
  <r>
    <x v="185"/>
    <x v="0"/>
    <x v="1"/>
    <x v="6"/>
    <n v="100"/>
  </r>
  <r>
    <x v="185"/>
    <x v="0"/>
    <x v="2"/>
    <x v="5"/>
    <n v="15000"/>
  </r>
  <r>
    <x v="185"/>
    <x v="0"/>
    <x v="2"/>
    <x v="0"/>
    <n v="1895175"/>
  </r>
  <r>
    <x v="185"/>
    <x v="0"/>
    <x v="2"/>
    <x v="1"/>
    <n v="1203332"/>
  </r>
  <r>
    <x v="185"/>
    <x v="0"/>
    <x v="2"/>
    <x v="2"/>
    <n v="1421545"/>
  </r>
  <r>
    <x v="185"/>
    <x v="0"/>
    <x v="2"/>
    <x v="3"/>
    <n v="24222"/>
  </r>
  <r>
    <x v="185"/>
    <x v="0"/>
    <x v="2"/>
    <x v="4"/>
    <n v="1073117"/>
  </r>
  <r>
    <x v="185"/>
    <x v="0"/>
    <x v="3"/>
    <x v="4"/>
    <n v="2000"/>
  </r>
  <r>
    <x v="185"/>
    <x v="0"/>
    <x v="3"/>
    <x v="6"/>
    <n v="250"/>
  </r>
  <r>
    <x v="185"/>
    <x v="0"/>
    <x v="4"/>
    <x v="0"/>
    <n v="48501"/>
  </r>
  <r>
    <x v="185"/>
    <x v="0"/>
    <x v="4"/>
    <x v="2"/>
    <n v="11224"/>
  </r>
  <r>
    <x v="185"/>
    <x v="2"/>
    <x v="1"/>
    <x v="0"/>
    <n v="109331"/>
  </r>
  <r>
    <x v="185"/>
    <x v="2"/>
    <x v="1"/>
    <x v="2"/>
    <n v="37360"/>
  </r>
  <r>
    <x v="185"/>
    <x v="2"/>
    <x v="1"/>
    <x v="4"/>
    <n v="179644"/>
  </r>
  <r>
    <x v="185"/>
    <x v="2"/>
    <x v="2"/>
    <x v="4"/>
    <n v="93854"/>
  </r>
  <r>
    <x v="185"/>
    <x v="2"/>
    <x v="3"/>
    <x v="0"/>
    <n v="2363"/>
  </r>
  <r>
    <x v="185"/>
    <x v="2"/>
    <x v="3"/>
    <x v="2"/>
    <n v="542"/>
  </r>
  <r>
    <x v="186"/>
    <x v="0"/>
    <x v="0"/>
    <x v="5"/>
    <n v="2000"/>
  </r>
  <r>
    <x v="186"/>
    <x v="0"/>
    <x v="0"/>
    <x v="0"/>
    <n v="130618"/>
  </r>
  <r>
    <x v="186"/>
    <x v="0"/>
    <x v="0"/>
    <x v="1"/>
    <n v="96797"/>
  </r>
  <r>
    <x v="186"/>
    <x v="0"/>
    <x v="0"/>
    <x v="2"/>
    <n v="87307"/>
  </r>
  <r>
    <x v="186"/>
    <x v="0"/>
    <x v="0"/>
    <x v="3"/>
    <n v="10300"/>
  </r>
  <r>
    <x v="186"/>
    <x v="0"/>
    <x v="0"/>
    <x v="4"/>
    <n v="1111904"/>
  </r>
  <r>
    <x v="186"/>
    <x v="0"/>
    <x v="0"/>
    <x v="6"/>
    <n v="1800"/>
  </r>
  <r>
    <x v="186"/>
    <x v="0"/>
    <x v="7"/>
    <x v="1"/>
    <n v="79285"/>
  </r>
  <r>
    <x v="186"/>
    <x v="0"/>
    <x v="7"/>
    <x v="2"/>
    <n v="57203"/>
  </r>
  <r>
    <x v="186"/>
    <x v="0"/>
    <x v="7"/>
    <x v="3"/>
    <n v="4000"/>
  </r>
  <r>
    <x v="186"/>
    <x v="0"/>
    <x v="1"/>
    <x v="0"/>
    <n v="862924"/>
  </r>
  <r>
    <x v="186"/>
    <x v="0"/>
    <x v="1"/>
    <x v="1"/>
    <n v="119610"/>
  </r>
  <r>
    <x v="186"/>
    <x v="0"/>
    <x v="1"/>
    <x v="2"/>
    <n v="390395"/>
  </r>
  <r>
    <x v="186"/>
    <x v="0"/>
    <x v="1"/>
    <x v="3"/>
    <n v="39466"/>
  </r>
  <r>
    <x v="186"/>
    <x v="0"/>
    <x v="1"/>
    <x v="4"/>
    <n v="382755"/>
  </r>
  <r>
    <x v="186"/>
    <x v="0"/>
    <x v="1"/>
    <x v="6"/>
    <n v="13000"/>
  </r>
  <r>
    <x v="186"/>
    <x v="0"/>
    <x v="2"/>
    <x v="5"/>
    <n v="2500"/>
  </r>
  <r>
    <x v="186"/>
    <x v="0"/>
    <x v="2"/>
    <x v="0"/>
    <n v="1868835"/>
  </r>
  <r>
    <x v="186"/>
    <x v="0"/>
    <x v="2"/>
    <x v="1"/>
    <n v="484451"/>
  </r>
  <r>
    <x v="186"/>
    <x v="0"/>
    <x v="2"/>
    <x v="2"/>
    <n v="1030682"/>
  </r>
  <r>
    <x v="186"/>
    <x v="0"/>
    <x v="2"/>
    <x v="3"/>
    <n v="44600"/>
  </r>
  <r>
    <x v="186"/>
    <x v="0"/>
    <x v="2"/>
    <x v="4"/>
    <n v="136500"/>
  </r>
  <r>
    <x v="186"/>
    <x v="0"/>
    <x v="2"/>
    <x v="6"/>
    <n v="50"/>
  </r>
  <r>
    <x v="186"/>
    <x v="0"/>
    <x v="11"/>
    <x v="1"/>
    <n v="4680"/>
  </r>
  <r>
    <x v="186"/>
    <x v="0"/>
    <x v="11"/>
    <x v="2"/>
    <n v="739"/>
  </r>
  <r>
    <x v="186"/>
    <x v="0"/>
    <x v="11"/>
    <x v="4"/>
    <n v="1000"/>
  </r>
  <r>
    <x v="186"/>
    <x v="0"/>
    <x v="11"/>
    <x v="6"/>
    <n v="750"/>
  </r>
  <r>
    <x v="186"/>
    <x v="0"/>
    <x v="3"/>
    <x v="5"/>
    <n v="100"/>
  </r>
  <r>
    <x v="186"/>
    <x v="0"/>
    <x v="3"/>
    <x v="0"/>
    <n v="23613"/>
  </r>
  <r>
    <x v="186"/>
    <x v="0"/>
    <x v="3"/>
    <x v="2"/>
    <n v="5313"/>
  </r>
  <r>
    <x v="186"/>
    <x v="0"/>
    <x v="3"/>
    <x v="3"/>
    <n v="200"/>
  </r>
  <r>
    <x v="186"/>
    <x v="0"/>
    <x v="3"/>
    <x v="4"/>
    <n v="10200"/>
  </r>
  <r>
    <x v="186"/>
    <x v="0"/>
    <x v="3"/>
    <x v="6"/>
    <n v="100"/>
  </r>
  <r>
    <x v="186"/>
    <x v="0"/>
    <x v="6"/>
    <x v="3"/>
    <n v="2750"/>
  </r>
  <r>
    <x v="186"/>
    <x v="0"/>
    <x v="8"/>
    <x v="3"/>
    <n v="100"/>
  </r>
  <r>
    <x v="186"/>
    <x v="0"/>
    <x v="8"/>
    <x v="4"/>
    <n v="400"/>
  </r>
  <r>
    <x v="186"/>
    <x v="0"/>
    <x v="4"/>
    <x v="0"/>
    <n v="35421"/>
  </r>
  <r>
    <x v="186"/>
    <x v="0"/>
    <x v="4"/>
    <x v="2"/>
    <n v="7970"/>
  </r>
  <r>
    <x v="186"/>
    <x v="1"/>
    <x v="0"/>
    <x v="4"/>
    <n v="13080"/>
  </r>
  <r>
    <x v="186"/>
    <x v="1"/>
    <x v="1"/>
    <x v="3"/>
    <n v="16678"/>
  </r>
  <r>
    <x v="186"/>
    <x v="1"/>
    <x v="2"/>
    <x v="1"/>
    <n v="56219"/>
  </r>
  <r>
    <x v="186"/>
    <x v="1"/>
    <x v="2"/>
    <x v="2"/>
    <n v="38213"/>
  </r>
  <r>
    <x v="186"/>
    <x v="1"/>
    <x v="3"/>
    <x v="4"/>
    <n v="38915"/>
  </r>
  <r>
    <x v="186"/>
    <x v="1"/>
    <x v="6"/>
    <x v="3"/>
    <n v="36895"/>
  </r>
  <r>
    <x v="186"/>
    <x v="2"/>
    <x v="0"/>
    <x v="4"/>
    <n v="78328"/>
  </r>
  <r>
    <x v="186"/>
    <x v="2"/>
    <x v="1"/>
    <x v="1"/>
    <n v="12309"/>
  </r>
  <r>
    <x v="186"/>
    <x v="2"/>
    <x v="1"/>
    <x v="2"/>
    <n v="6863"/>
  </r>
  <r>
    <x v="186"/>
    <x v="2"/>
    <x v="2"/>
    <x v="1"/>
    <n v="594054"/>
  </r>
  <r>
    <x v="186"/>
    <x v="2"/>
    <x v="2"/>
    <x v="2"/>
    <n v="376861"/>
  </r>
  <r>
    <x v="187"/>
    <x v="0"/>
    <x v="1"/>
    <x v="3"/>
    <n v="216"/>
  </r>
  <r>
    <x v="187"/>
    <x v="0"/>
    <x v="1"/>
    <x v="4"/>
    <n v="9241"/>
  </r>
  <r>
    <x v="187"/>
    <x v="0"/>
    <x v="1"/>
    <x v="6"/>
    <n v="200"/>
  </r>
  <r>
    <x v="187"/>
    <x v="0"/>
    <x v="2"/>
    <x v="0"/>
    <n v="9455"/>
  </r>
  <r>
    <x v="187"/>
    <x v="0"/>
    <x v="2"/>
    <x v="2"/>
    <n v="4158"/>
  </r>
  <r>
    <x v="187"/>
    <x v="0"/>
    <x v="2"/>
    <x v="3"/>
    <n v="900"/>
  </r>
  <r>
    <x v="187"/>
    <x v="0"/>
    <x v="2"/>
    <x v="4"/>
    <n v="2374"/>
  </r>
  <r>
    <x v="187"/>
    <x v="0"/>
    <x v="2"/>
    <x v="6"/>
    <n v="200"/>
  </r>
  <r>
    <x v="187"/>
    <x v="2"/>
    <x v="1"/>
    <x v="3"/>
    <n v="500"/>
  </r>
  <r>
    <x v="187"/>
    <x v="2"/>
    <x v="1"/>
    <x v="4"/>
    <n v="9981"/>
  </r>
  <r>
    <x v="187"/>
    <x v="2"/>
    <x v="1"/>
    <x v="6"/>
    <n v="400"/>
  </r>
  <r>
    <x v="188"/>
    <x v="0"/>
    <x v="2"/>
    <x v="0"/>
    <n v="87772"/>
  </r>
  <r>
    <x v="188"/>
    <x v="0"/>
    <x v="2"/>
    <x v="1"/>
    <n v="85951"/>
  </r>
  <r>
    <x v="188"/>
    <x v="0"/>
    <x v="2"/>
    <x v="2"/>
    <n v="99563"/>
  </r>
  <r>
    <x v="188"/>
    <x v="0"/>
    <x v="2"/>
    <x v="3"/>
    <n v="3000"/>
  </r>
  <r>
    <x v="188"/>
    <x v="0"/>
    <x v="2"/>
    <x v="4"/>
    <n v="5000"/>
  </r>
  <r>
    <x v="188"/>
    <x v="0"/>
    <x v="2"/>
    <x v="6"/>
    <n v="200"/>
  </r>
  <r>
    <x v="188"/>
    <x v="0"/>
    <x v="3"/>
    <x v="4"/>
    <n v="200"/>
  </r>
  <r>
    <x v="188"/>
    <x v="2"/>
    <x v="1"/>
    <x v="4"/>
    <n v="58000"/>
  </r>
  <r>
    <x v="189"/>
    <x v="0"/>
    <x v="0"/>
    <x v="0"/>
    <n v="629577"/>
  </r>
  <r>
    <x v="189"/>
    <x v="0"/>
    <x v="0"/>
    <x v="1"/>
    <n v="272867"/>
  </r>
  <r>
    <x v="189"/>
    <x v="0"/>
    <x v="0"/>
    <x v="2"/>
    <n v="354968"/>
  </r>
  <r>
    <x v="189"/>
    <x v="0"/>
    <x v="0"/>
    <x v="3"/>
    <n v="34854"/>
  </r>
  <r>
    <x v="189"/>
    <x v="0"/>
    <x v="0"/>
    <x v="4"/>
    <n v="8000"/>
  </r>
  <r>
    <x v="189"/>
    <x v="0"/>
    <x v="0"/>
    <x v="6"/>
    <n v="4000"/>
  </r>
  <r>
    <x v="189"/>
    <x v="0"/>
    <x v="7"/>
    <x v="1"/>
    <n v="957426"/>
  </r>
  <r>
    <x v="189"/>
    <x v="0"/>
    <x v="7"/>
    <x v="2"/>
    <n v="583889"/>
  </r>
  <r>
    <x v="189"/>
    <x v="0"/>
    <x v="1"/>
    <x v="0"/>
    <n v="3617058"/>
  </r>
  <r>
    <x v="189"/>
    <x v="0"/>
    <x v="1"/>
    <x v="1"/>
    <n v="383283"/>
  </r>
  <r>
    <x v="189"/>
    <x v="0"/>
    <x v="1"/>
    <x v="2"/>
    <n v="1636438"/>
  </r>
  <r>
    <x v="189"/>
    <x v="0"/>
    <x v="1"/>
    <x v="3"/>
    <n v="72800"/>
  </r>
  <r>
    <x v="189"/>
    <x v="0"/>
    <x v="1"/>
    <x v="4"/>
    <n v="420000"/>
  </r>
  <r>
    <x v="189"/>
    <x v="0"/>
    <x v="1"/>
    <x v="6"/>
    <n v="19400"/>
  </r>
  <r>
    <x v="189"/>
    <x v="0"/>
    <x v="2"/>
    <x v="0"/>
    <n v="10132063"/>
  </r>
  <r>
    <x v="189"/>
    <x v="0"/>
    <x v="2"/>
    <x v="1"/>
    <n v="3724255"/>
  </r>
  <r>
    <x v="189"/>
    <x v="0"/>
    <x v="2"/>
    <x v="2"/>
    <n v="6712507"/>
  </r>
  <r>
    <x v="189"/>
    <x v="0"/>
    <x v="2"/>
    <x v="3"/>
    <n v="363752"/>
  </r>
  <r>
    <x v="189"/>
    <x v="0"/>
    <x v="2"/>
    <x v="4"/>
    <n v="296170"/>
  </r>
  <r>
    <x v="189"/>
    <x v="0"/>
    <x v="2"/>
    <x v="6"/>
    <n v="17000"/>
  </r>
  <r>
    <x v="189"/>
    <x v="0"/>
    <x v="3"/>
    <x v="0"/>
    <n v="50000"/>
  </r>
  <r>
    <x v="189"/>
    <x v="0"/>
    <x v="3"/>
    <x v="1"/>
    <n v="25000"/>
  </r>
  <r>
    <x v="189"/>
    <x v="0"/>
    <x v="3"/>
    <x v="2"/>
    <n v="6826"/>
  </r>
  <r>
    <x v="189"/>
    <x v="0"/>
    <x v="3"/>
    <x v="4"/>
    <n v="10000"/>
  </r>
  <r>
    <x v="189"/>
    <x v="0"/>
    <x v="3"/>
    <x v="6"/>
    <n v="5000"/>
  </r>
  <r>
    <x v="189"/>
    <x v="1"/>
    <x v="2"/>
    <x v="0"/>
    <n v="395000"/>
  </r>
  <r>
    <x v="189"/>
    <x v="1"/>
    <x v="2"/>
    <x v="2"/>
    <n v="43846"/>
  </r>
  <r>
    <x v="189"/>
    <x v="1"/>
    <x v="2"/>
    <x v="3"/>
    <n v="169090"/>
  </r>
  <r>
    <x v="189"/>
    <x v="1"/>
    <x v="2"/>
    <x v="4"/>
    <n v="86597"/>
  </r>
  <r>
    <x v="189"/>
    <x v="1"/>
    <x v="3"/>
    <x v="3"/>
    <n v="42790"/>
  </r>
  <r>
    <x v="189"/>
    <x v="1"/>
    <x v="3"/>
    <x v="4"/>
    <n v="70500"/>
  </r>
  <r>
    <x v="189"/>
    <x v="2"/>
    <x v="0"/>
    <x v="4"/>
    <n v="25500"/>
  </r>
  <r>
    <x v="189"/>
    <x v="2"/>
    <x v="2"/>
    <x v="0"/>
    <n v="826934"/>
  </r>
  <r>
    <x v="189"/>
    <x v="2"/>
    <x v="2"/>
    <x v="1"/>
    <n v="1005389"/>
  </r>
  <r>
    <x v="189"/>
    <x v="2"/>
    <x v="2"/>
    <x v="2"/>
    <n v="969205"/>
  </r>
  <r>
    <x v="189"/>
    <x v="2"/>
    <x v="2"/>
    <x v="3"/>
    <n v="169165"/>
  </r>
  <r>
    <x v="189"/>
    <x v="2"/>
    <x v="3"/>
    <x v="4"/>
    <n v="200000"/>
  </r>
  <r>
    <x v="190"/>
    <x v="0"/>
    <x v="0"/>
    <x v="0"/>
    <n v="9000"/>
  </r>
  <r>
    <x v="190"/>
    <x v="0"/>
    <x v="0"/>
    <x v="2"/>
    <n v="2078"/>
  </r>
  <r>
    <x v="190"/>
    <x v="0"/>
    <x v="0"/>
    <x v="6"/>
    <n v="300"/>
  </r>
  <r>
    <x v="190"/>
    <x v="0"/>
    <x v="1"/>
    <x v="0"/>
    <n v="84477"/>
  </r>
  <r>
    <x v="190"/>
    <x v="0"/>
    <x v="1"/>
    <x v="2"/>
    <n v="31830"/>
  </r>
  <r>
    <x v="190"/>
    <x v="0"/>
    <x v="1"/>
    <x v="3"/>
    <n v="500"/>
  </r>
  <r>
    <x v="190"/>
    <x v="0"/>
    <x v="1"/>
    <x v="4"/>
    <n v="26500"/>
  </r>
  <r>
    <x v="190"/>
    <x v="0"/>
    <x v="1"/>
    <x v="6"/>
    <n v="650"/>
  </r>
  <r>
    <x v="190"/>
    <x v="0"/>
    <x v="2"/>
    <x v="0"/>
    <n v="74868"/>
  </r>
  <r>
    <x v="190"/>
    <x v="0"/>
    <x v="2"/>
    <x v="1"/>
    <n v="162997"/>
  </r>
  <r>
    <x v="190"/>
    <x v="0"/>
    <x v="2"/>
    <x v="2"/>
    <n v="140146"/>
  </r>
  <r>
    <x v="190"/>
    <x v="0"/>
    <x v="2"/>
    <x v="3"/>
    <n v="2200"/>
  </r>
  <r>
    <x v="190"/>
    <x v="0"/>
    <x v="2"/>
    <x v="4"/>
    <n v="40200"/>
  </r>
  <r>
    <x v="190"/>
    <x v="0"/>
    <x v="2"/>
    <x v="6"/>
    <n v="200"/>
  </r>
  <r>
    <x v="190"/>
    <x v="0"/>
    <x v="3"/>
    <x v="1"/>
    <n v="2300"/>
  </r>
  <r>
    <x v="190"/>
    <x v="0"/>
    <x v="3"/>
    <x v="2"/>
    <n v="499"/>
  </r>
  <r>
    <x v="190"/>
    <x v="0"/>
    <x v="3"/>
    <x v="4"/>
    <n v="1000"/>
  </r>
  <r>
    <x v="190"/>
    <x v="0"/>
    <x v="4"/>
    <x v="0"/>
    <n v="4000"/>
  </r>
  <r>
    <x v="190"/>
    <x v="0"/>
    <x v="4"/>
    <x v="2"/>
    <n v="927"/>
  </r>
  <r>
    <x v="190"/>
    <x v="2"/>
    <x v="1"/>
    <x v="3"/>
    <n v="1071"/>
  </r>
  <r>
    <x v="190"/>
    <x v="2"/>
    <x v="1"/>
    <x v="4"/>
    <n v="54050"/>
  </r>
  <r>
    <x v="191"/>
    <x v="0"/>
    <x v="0"/>
    <x v="0"/>
    <n v="19500"/>
  </r>
  <r>
    <x v="191"/>
    <x v="0"/>
    <x v="0"/>
    <x v="2"/>
    <n v="6094"/>
  </r>
  <r>
    <x v="191"/>
    <x v="0"/>
    <x v="2"/>
    <x v="0"/>
    <n v="49510"/>
  </r>
  <r>
    <x v="191"/>
    <x v="0"/>
    <x v="2"/>
    <x v="2"/>
    <n v="32800"/>
  </r>
  <r>
    <x v="191"/>
    <x v="0"/>
    <x v="2"/>
    <x v="4"/>
    <n v="25000"/>
  </r>
  <r>
    <x v="191"/>
    <x v="2"/>
    <x v="1"/>
    <x v="4"/>
    <n v="75000"/>
  </r>
  <r>
    <x v="191"/>
    <x v="2"/>
    <x v="1"/>
    <x v="6"/>
    <n v="8500"/>
  </r>
  <r>
    <x v="191"/>
    <x v="2"/>
    <x v="2"/>
    <x v="3"/>
    <n v="2000"/>
  </r>
  <r>
    <x v="192"/>
    <x v="0"/>
    <x v="2"/>
    <x v="0"/>
    <n v="93659"/>
  </r>
  <r>
    <x v="192"/>
    <x v="0"/>
    <x v="2"/>
    <x v="1"/>
    <n v="159528"/>
  </r>
  <r>
    <x v="192"/>
    <x v="0"/>
    <x v="2"/>
    <x v="2"/>
    <n v="105241"/>
  </r>
  <r>
    <x v="192"/>
    <x v="0"/>
    <x v="2"/>
    <x v="3"/>
    <n v="27500"/>
  </r>
  <r>
    <x v="192"/>
    <x v="0"/>
    <x v="2"/>
    <x v="4"/>
    <n v="118000"/>
  </r>
  <r>
    <x v="192"/>
    <x v="0"/>
    <x v="5"/>
    <x v="4"/>
    <n v="25000"/>
  </r>
  <r>
    <x v="192"/>
    <x v="0"/>
    <x v="6"/>
    <x v="3"/>
    <n v="4500"/>
  </r>
  <r>
    <x v="192"/>
    <x v="0"/>
    <x v="8"/>
    <x v="3"/>
    <n v="4500"/>
  </r>
  <r>
    <x v="192"/>
    <x v="2"/>
    <x v="1"/>
    <x v="4"/>
    <n v="59466"/>
  </r>
  <r>
    <x v="192"/>
    <x v="2"/>
    <x v="2"/>
    <x v="1"/>
    <n v="2462"/>
  </r>
  <r>
    <x v="192"/>
    <x v="2"/>
    <x v="2"/>
    <x v="2"/>
    <n v="1383"/>
  </r>
  <r>
    <x v="193"/>
    <x v="0"/>
    <x v="0"/>
    <x v="0"/>
    <n v="539312"/>
  </r>
  <r>
    <x v="193"/>
    <x v="0"/>
    <x v="0"/>
    <x v="1"/>
    <n v="128910"/>
  </r>
  <r>
    <x v="193"/>
    <x v="0"/>
    <x v="0"/>
    <x v="2"/>
    <n v="221206"/>
  </r>
  <r>
    <x v="193"/>
    <x v="0"/>
    <x v="7"/>
    <x v="0"/>
    <n v="319159"/>
  </r>
  <r>
    <x v="193"/>
    <x v="0"/>
    <x v="7"/>
    <x v="1"/>
    <n v="24248"/>
  </r>
  <r>
    <x v="193"/>
    <x v="0"/>
    <x v="7"/>
    <x v="2"/>
    <n v="128097"/>
  </r>
  <r>
    <x v="193"/>
    <x v="0"/>
    <x v="1"/>
    <x v="0"/>
    <n v="3610526"/>
  </r>
  <r>
    <x v="193"/>
    <x v="0"/>
    <x v="1"/>
    <x v="1"/>
    <n v="261219"/>
  </r>
  <r>
    <x v="193"/>
    <x v="0"/>
    <x v="1"/>
    <x v="2"/>
    <n v="1477465"/>
  </r>
  <r>
    <x v="193"/>
    <x v="0"/>
    <x v="1"/>
    <x v="4"/>
    <n v="600000"/>
  </r>
  <r>
    <x v="193"/>
    <x v="0"/>
    <x v="1"/>
    <x v="6"/>
    <n v="12500"/>
  </r>
  <r>
    <x v="193"/>
    <x v="0"/>
    <x v="2"/>
    <x v="0"/>
    <n v="5130291"/>
  </r>
  <r>
    <x v="193"/>
    <x v="0"/>
    <x v="2"/>
    <x v="1"/>
    <n v="3618358"/>
  </r>
  <r>
    <x v="193"/>
    <x v="0"/>
    <x v="2"/>
    <x v="2"/>
    <n v="4157853"/>
  </r>
  <r>
    <x v="193"/>
    <x v="0"/>
    <x v="2"/>
    <x v="3"/>
    <n v="150000"/>
  </r>
  <r>
    <x v="193"/>
    <x v="0"/>
    <x v="3"/>
    <x v="4"/>
    <n v="25000"/>
  </r>
  <r>
    <x v="193"/>
    <x v="0"/>
    <x v="4"/>
    <x v="0"/>
    <n v="148078"/>
  </r>
  <r>
    <x v="193"/>
    <x v="0"/>
    <x v="4"/>
    <x v="2"/>
    <n v="34282"/>
  </r>
  <r>
    <x v="193"/>
    <x v="2"/>
    <x v="1"/>
    <x v="0"/>
    <n v="104530"/>
  </r>
  <r>
    <x v="193"/>
    <x v="2"/>
    <x v="1"/>
    <x v="2"/>
    <n v="23797"/>
  </r>
  <r>
    <x v="193"/>
    <x v="2"/>
    <x v="2"/>
    <x v="0"/>
    <n v="125377"/>
  </r>
  <r>
    <x v="193"/>
    <x v="2"/>
    <x v="2"/>
    <x v="1"/>
    <n v="847636"/>
  </r>
  <r>
    <x v="193"/>
    <x v="2"/>
    <x v="2"/>
    <x v="2"/>
    <n v="582677"/>
  </r>
  <r>
    <x v="193"/>
    <x v="2"/>
    <x v="2"/>
    <x v="3"/>
    <n v="8307"/>
  </r>
  <r>
    <x v="193"/>
    <x v="2"/>
    <x v="2"/>
    <x v="4"/>
    <n v="139711"/>
  </r>
  <r>
    <x v="194"/>
    <x v="0"/>
    <x v="1"/>
    <x v="3"/>
    <n v="4833"/>
  </r>
  <r>
    <x v="194"/>
    <x v="0"/>
    <x v="1"/>
    <x v="4"/>
    <n v="113760"/>
  </r>
  <r>
    <x v="194"/>
    <x v="0"/>
    <x v="2"/>
    <x v="0"/>
    <n v="73460"/>
  </r>
  <r>
    <x v="194"/>
    <x v="0"/>
    <x v="2"/>
    <x v="1"/>
    <n v="117384"/>
  </r>
  <r>
    <x v="194"/>
    <x v="0"/>
    <x v="2"/>
    <x v="2"/>
    <n v="69595"/>
  </r>
  <r>
    <x v="194"/>
    <x v="2"/>
    <x v="2"/>
    <x v="0"/>
    <n v="17000"/>
  </r>
  <r>
    <x v="194"/>
    <x v="2"/>
    <x v="2"/>
    <x v="2"/>
    <n v="4108"/>
  </r>
  <r>
    <x v="195"/>
    <x v="0"/>
    <x v="0"/>
    <x v="0"/>
    <n v="279869"/>
  </r>
  <r>
    <x v="195"/>
    <x v="0"/>
    <x v="0"/>
    <x v="1"/>
    <n v="37893"/>
  </r>
  <r>
    <x v="195"/>
    <x v="0"/>
    <x v="0"/>
    <x v="2"/>
    <n v="108650"/>
  </r>
  <r>
    <x v="195"/>
    <x v="0"/>
    <x v="0"/>
    <x v="3"/>
    <n v="1000"/>
  </r>
  <r>
    <x v="195"/>
    <x v="0"/>
    <x v="9"/>
    <x v="3"/>
    <n v="2000"/>
  </r>
  <r>
    <x v="195"/>
    <x v="0"/>
    <x v="1"/>
    <x v="0"/>
    <n v="94615"/>
  </r>
  <r>
    <x v="195"/>
    <x v="0"/>
    <x v="1"/>
    <x v="2"/>
    <n v="34125"/>
  </r>
  <r>
    <x v="195"/>
    <x v="0"/>
    <x v="1"/>
    <x v="4"/>
    <n v="382000"/>
  </r>
  <r>
    <x v="195"/>
    <x v="0"/>
    <x v="2"/>
    <x v="0"/>
    <n v="392373"/>
  </r>
  <r>
    <x v="195"/>
    <x v="0"/>
    <x v="2"/>
    <x v="1"/>
    <n v="249527"/>
  </r>
  <r>
    <x v="195"/>
    <x v="0"/>
    <x v="2"/>
    <x v="2"/>
    <n v="318902"/>
  </r>
  <r>
    <x v="195"/>
    <x v="0"/>
    <x v="2"/>
    <x v="3"/>
    <n v="54000"/>
  </r>
  <r>
    <x v="195"/>
    <x v="0"/>
    <x v="2"/>
    <x v="4"/>
    <n v="15000"/>
  </r>
  <r>
    <x v="195"/>
    <x v="0"/>
    <x v="8"/>
    <x v="3"/>
    <n v="50000"/>
  </r>
  <r>
    <x v="195"/>
    <x v="2"/>
    <x v="2"/>
    <x v="1"/>
    <n v="105316"/>
  </r>
  <r>
    <x v="195"/>
    <x v="2"/>
    <x v="2"/>
    <x v="2"/>
    <n v="71668"/>
  </r>
  <r>
    <x v="196"/>
    <x v="0"/>
    <x v="0"/>
    <x v="0"/>
    <n v="28352"/>
  </r>
  <r>
    <x v="196"/>
    <x v="0"/>
    <x v="0"/>
    <x v="2"/>
    <n v="9931"/>
  </r>
  <r>
    <x v="196"/>
    <x v="0"/>
    <x v="1"/>
    <x v="0"/>
    <n v="21301"/>
  </r>
  <r>
    <x v="196"/>
    <x v="0"/>
    <x v="1"/>
    <x v="2"/>
    <n v="4883"/>
  </r>
  <r>
    <x v="196"/>
    <x v="0"/>
    <x v="1"/>
    <x v="3"/>
    <n v="1250"/>
  </r>
  <r>
    <x v="196"/>
    <x v="0"/>
    <x v="1"/>
    <x v="4"/>
    <n v="110000"/>
  </r>
  <r>
    <x v="196"/>
    <x v="0"/>
    <x v="2"/>
    <x v="0"/>
    <n v="122661"/>
  </r>
  <r>
    <x v="196"/>
    <x v="0"/>
    <x v="2"/>
    <x v="1"/>
    <n v="139660"/>
  </r>
  <r>
    <x v="196"/>
    <x v="0"/>
    <x v="2"/>
    <x v="2"/>
    <n v="147489"/>
  </r>
  <r>
    <x v="196"/>
    <x v="0"/>
    <x v="2"/>
    <x v="3"/>
    <n v="6500"/>
  </r>
  <r>
    <x v="196"/>
    <x v="0"/>
    <x v="2"/>
    <x v="4"/>
    <n v="3150"/>
  </r>
  <r>
    <x v="196"/>
    <x v="0"/>
    <x v="2"/>
    <x v="6"/>
    <n v="1200"/>
  </r>
  <r>
    <x v="196"/>
    <x v="0"/>
    <x v="2"/>
    <x v="7"/>
    <n v="1000"/>
  </r>
  <r>
    <x v="196"/>
    <x v="2"/>
    <x v="2"/>
    <x v="0"/>
    <n v="58467"/>
  </r>
  <r>
    <x v="196"/>
    <x v="2"/>
    <x v="2"/>
    <x v="2"/>
    <n v="21786"/>
  </r>
  <r>
    <x v="197"/>
    <x v="0"/>
    <x v="0"/>
    <x v="1"/>
    <n v="59045"/>
  </r>
  <r>
    <x v="197"/>
    <x v="0"/>
    <x v="0"/>
    <x v="2"/>
    <n v="19732"/>
  </r>
  <r>
    <x v="197"/>
    <x v="0"/>
    <x v="0"/>
    <x v="3"/>
    <n v="2000"/>
  </r>
  <r>
    <x v="197"/>
    <x v="0"/>
    <x v="1"/>
    <x v="0"/>
    <n v="1122320"/>
  </r>
  <r>
    <x v="197"/>
    <x v="0"/>
    <x v="1"/>
    <x v="1"/>
    <n v="80718"/>
  </r>
  <r>
    <x v="197"/>
    <x v="0"/>
    <x v="1"/>
    <x v="2"/>
    <n v="447435"/>
  </r>
  <r>
    <x v="197"/>
    <x v="0"/>
    <x v="1"/>
    <x v="3"/>
    <n v="14000"/>
  </r>
  <r>
    <x v="197"/>
    <x v="0"/>
    <x v="1"/>
    <x v="4"/>
    <n v="792000"/>
  </r>
  <r>
    <x v="197"/>
    <x v="0"/>
    <x v="1"/>
    <x v="6"/>
    <n v="10000"/>
  </r>
  <r>
    <x v="197"/>
    <x v="0"/>
    <x v="2"/>
    <x v="0"/>
    <n v="1600367"/>
  </r>
  <r>
    <x v="197"/>
    <x v="0"/>
    <x v="2"/>
    <x v="1"/>
    <n v="2647221"/>
  </r>
  <r>
    <x v="197"/>
    <x v="0"/>
    <x v="2"/>
    <x v="2"/>
    <n v="2162987"/>
  </r>
  <r>
    <x v="197"/>
    <x v="0"/>
    <x v="2"/>
    <x v="3"/>
    <n v="30000"/>
  </r>
  <r>
    <x v="197"/>
    <x v="0"/>
    <x v="2"/>
    <x v="4"/>
    <n v="200000"/>
  </r>
  <r>
    <x v="197"/>
    <x v="0"/>
    <x v="4"/>
    <x v="0"/>
    <n v="41186"/>
  </r>
  <r>
    <x v="197"/>
    <x v="0"/>
    <x v="4"/>
    <x v="2"/>
    <n v="9491"/>
  </r>
  <r>
    <x v="197"/>
    <x v="1"/>
    <x v="1"/>
    <x v="4"/>
    <n v="125000"/>
  </r>
  <r>
    <x v="197"/>
    <x v="2"/>
    <x v="2"/>
    <x v="0"/>
    <n v="637814"/>
  </r>
  <r>
    <x v="197"/>
    <x v="2"/>
    <x v="2"/>
    <x v="2"/>
    <n v="245702"/>
  </r>
  <r>
    <x v="197"/>
    <x v="3"/>
    <x v="2"/>
    <x v="0"/>
    <n v="11144"/>
  </r>
  <r>
    <x v="197"/>
    <x v="3"/>
    <x v="2"/>
    <x v="2"/>
    <n v="4041"/>
  </r>
  <r>
    <x v="198"/>
    <x v="0"/>
    <x v="0"/>
    <x v="0"/>
    <n v="75928"/>
  </r>
  <r>
    <x v="198"/>
    <x v="0"/>
    <x v="0"/>
    <x v="1"/>
    <n v="52642"/>
  </r>
  <r>
    <x v="198"/>
    <x v="0"/>
    <x v="0"/>
    <x v="2"/>
    <n v="47688"/>
  </r>
  <r>
    <x v="198"/>
    <x v="0"/>
    <x v="1"/>
    <x v="0"/>
    <n v="233795"/>
  </r>
  <r>
    <x v="198"/>
    <x v="0"/>
    <x v="1"/>
    <x v="2"/>
    <n v="90975"/>
  </r>
  <r>
    <x v="198"/>
    <x v="0"/>
    <x v="1"/>
    <x v="4"/>
    <n v="179400"/>
  </r>
  <r>
    <x v="198"/>
    <x v="0"/>
    <x v="2"/>
    <x v="0"/>
    <n v="749724"/>
  </r>
  <r>
    <x v="198"/>
    <x v="0"/>
    <x v="2"/>
    <x v="1"/>
    <n v="631118"/>
  </r>
  <r>
    <x v="198"/>
    <x v="0"/>
    <x v="2"/>
    <x v="2"/>
    <n v="659355"/>
  </r>
  <r>
    <x v="198"/>
    <x v="0"/>
    <x v="2"/>
    <x v="3"/>
    <n v="5000"/>
  </r>
  <r>
    <x v="198"/>
    <x v="0"/>
    <x v="2"/>
    <x v="4"/>
    <n v="29000"/>
  </r>
  <r>
    <x v="198"/>
    <x v="0"/>
    <x v="3"/>
    <x v="0"/>
    <n v="16761"/>
  </r>
  <r>
    <x v="198"/>
    <x v="0"/>
    <x v="3"/>
    <x v="2"/>
    <n v="3865"/>
  </r>
  <r>
    <x v="198"/>
    <x v="0"/>
    <x v="4"/>
    <x v="0"/>
    <n v="15404"/>
  </r>
  <r>
    <x v="198"/>
    <x v="0"/>
    <x v="4"/>
    <x v="2"/>
    <n v="3552"/>
  </r>
  <r>
    <x v="198"/>
    <x v="2"/>
    <x v="1"/>
    <x v="0"/>
    <n v="141130"/>
  </r>
  <r>
    <x v="198"/>
    <x v="2"/>
    <x v="1"/>
    <x v="2"/>
    <n v="57336"/>
  </r>
  <r>
    <x v="198"/>
    <x v="2"/>
    <x v="2"/>
    <x v="0"/>
    <n v="53185"/>
  </r>
  <r>
    <x v="198"/>
    <x v="2"/>
    <x v="2"/>
    <x v="2"/>
    <n v="19961"/>
  </r>
  <r>
    <x v="198"/>
    <x v="2"/>
    <x v="2"/>
    <x v="3"/>
    <n v="4206"/>
  </r>
  <r>
    <x v="198"/>
    <x v="2"/>
    <x v="3"/>
    <x v="0"/>
    <n v="6477"/>
  </r>
  <r>
    <x v="198"/>
    <x v="2"/>
    <x v="3"/>
    <x v="2"/>
    <n v="1499"/>
  </r>
  <r>
    <x v="199"/>
    <x v="0"/>
    <x v="1"/>
    <x v="4"/>
    <n v="70000"/>
  </r>
  <r>
    <x v="199"/>
    <x v="0"/>
    <x v="2"/>
    <x v="0"/>
    <n v="132158"/>
  </r>
  <r>
    <x v="199"/>
    <x v="0"/>
    <x v="2"/>
    <x v="1"/>
    <n v="131897"/>
  </r>
  <r>
    <x v="199"/>
    <x v="0"/>
    <x v="2"/>
    <x v="2"/>
    <n v="113335"/>
  </r>
  <r>
    <x v="199"/>
    <x v="0"/>
    <x v="2"/>
    <x v="3"/>
    <n v="6000"/>
  </r>
  <r>
    <x v="199"/>
    <x v="0"/>
    <x v="2"/>
    <x v="4"/>
    <n v="50000"/>
  </r>
  <r>
    <x v="199"/>
    <x v="0"/>
    <x v="3"/>
    <x v="0"/>
    <n v="1910"/>
  </r>
  <r>
    <x v="199"/>
    <x v="0"/>
    <x v="3"/>
    <x v="2"/>
    <n v="189"/>
  </r>
  <r>
    <x v="199"/>
    <x v="0"/>
    <x v="3"/>
    <x v="4"/>
    <n v="2000"/>
  </r>
  <r>
    <x v="199"/>
    <x v="0"/>
    <x v="3"/>
    <x v="6"/>
    <n v="1000"/>
  </r>
  <r>
    <x v="199"/>
    <x v="0"/>
    <x v="4"/>
    <x v="0"/>
    <n v="1953"/>
  </r>
  <r>
    <x v="199"/>
    <x v="0"/>
    <x v="4"/>
    <x v="2"/>
    <n v="284"/>
  </r>
  <r>
    <x v="199"/>
    <x v="2"/>
    <x v="1"/>
    <x v="4"/>
    <n v="30000"/>
  </r>
  <r>
    <x v="199"/>
    <x v="2"/>
    <x v="2"/>
    <x v="2"/>
    <n v="1252"/>
  </r>
  <r>
    <x v="199"/>
    <x v="2"/>
    <x v="2"/>
    <x v="3"/>
    <n v="10000"/>
  </r>
  <r>
    <x v="200"/>
    <x v="0"/>
    <x v="0"/>
    <x v="0"/>
    <n v="105249"/>
  </r>
  <r>
    <x v="200"/>
    <x v="0"/>
    <x v="0"/>
    <x v="2"/>
    <n v="24207"/>
  </r>
  <r>
    <x v="200"/>
    <x v="0"/>
    <x v="9"/>
    <x v="0"/>
    <n v="112503"/>
  </r>
  <r>
    <x v="200"/>
    <x v="0"/>
    <x v="1"/>
    <x v="3"/>
    <n v="10000"/>
  </r>
  <r>
    <x v="200"/>
    <x v="0"/>
    <x v="1"/>
    <x v="4"/>
    <n v="150000"/>
  </r>
  <r>
    <x v="200"/>
    <x v="0"/>
    <x v="2"/>
    <x v="0"/>
    <n v="121922"/>
  </r>
  <r>
    <x v="200"/>
    <x v="0"/>
    <x v="2"/>
    <x v="1"/>
    <n v="42000"/>
  </r>
  <r>
    <x v="200"/>
    <x v="0"/>
    <x v="2"/>
    <x v="2"/>
    <n v="121596"/>
  </r>
  <r>
    <x v="200"/>
    <x v="2"/>
    <x v="2"/>
    <x v="0"/>
    <n v="76270"/>
  </r>
  <r>
    <x v="200"/>
    <x v="2"/>
    <x v="2"/>
    <x v="2"/>
    <n v="29854"/>
  </r>
  <r>
    <x v="201"/>
    <x v="0"/>
    <x v="0"/>
    <x v="0"/>
    <n v="115984"/>
  </r>
  <r>
    <x v="201"/>
    <x v="0"/>
    <x v="0"/>
    <x v="1"/>
    <n v="104516"/>
  </r>
  <r>
    <x v="201"/>
    <x v="0"/>
    <x v="0"/>
    <x v="2"/>
    <n v="92936"/>
  </r>
  <r>
    <x v="201"/>
    <x v="0"/>
    <x v="0"/>
    <x v="3"/>
    <n v="2000"/>
  </r>
  <r>
    <x v="201"/>
    <x v="0"/>
    <x v="0"/>
    <x v="4"/>
    <n v="6500"/>
  </r>
  <r>
    <x v="201"/>
    <x v="0"/>
    <x v="0"/>
    <x v="6"/>
    <n v="800"/>
  </r>
  <r>
    <x v="201"/>
    <x v="0"/>
    <x v="1"/>
    <x v="0"/>
    <n v="227357"/>
  </r>
  <r>
    <x v="201"/>
    <x v="0"/>
    <x v="1"/>
    <x v="1"/>
    <n v="129418"/>
  </r>
  <r>
    <x v="201"/>
    <x v="0"/>
    <x v="1"/>
    <x v="2"/>
    <n v="159171"/>
  </r>
  <r>
    <x v="201"/>
    <x v="0"/>
    <x v="1"/>
    <x v="4"/>
    <n v="504987"/>
  </r>
  <r>
    <x v="201"/>
    <x v="0"/>
    <x v="2"/>
    <x v="0"/>
    <n v="1101457"/>
  </r>
  <r>
    <x v="201"/>
    <x v="0"/>
    <x v="2"/>
    <x v="1"/>
    <n v="668614"/>
  </r>
  <r>
    <x v="201"/>
    <x v="0"/>
    <x v="2"/>
    <x v="2"/>
    <n v="905866"/>
  </r>
  <r>
    <x v="201"/>
    <x v="0"/>
    <x v="2"/>
    <x v="3"/>
    <n v="15000"/>
  </r>
  <r>
    <x v="201"/>
    <x v="0"/>
    <x v="2"/>
    <x v="4"/>
    <n v="15000"/>
  </r>
  <r>
    <x v="201"/>
    <x v="0"/>
    <x v="2"/>
    <x v="6"/>
    <n v="200"/>
  </r>
  <r>
    <x v="201"/>
    <x v="0"/>
    <x v="3"/>
    <x v="0"/>
    <n v="6911"/>
  </r>
  <r>
    <x v="201"/>
    <x v="0"/>
    <x v="3"/>
    <x v="2"/>
    <n v="1588"/>
  </r>
  <r>
    <x v="201"/>
    <x v="0"/>
    <x v="4"/>
    <x v="0"/>
    <n v="20730"/>
  </r>
  <r>
    <x v="201"/>
    <x v="0"/>
    <x v="4"/>
    <x v="2"/>
    <n v="4769"/>
  </r>
  <r>
    <x v="201"/>
    <x v="2"/>
    <x v="2"/>
    <x v="1"/>
    <n v="247172"/>
  </r>
  <r>
    <x v="201"/>
    <x v="2"/>
    <x v="2"/>
    <x v="2"/>
    <n v="168961"/>
  </r>
  <r>
    <x v="201"/>
    <x v="2"/>
    <x v="2"/>
    <x v="3"/>
    <n v="15011"/>
  </r>
  <r>
    <x v="201"/>
    <x v="2"/>
    <x v="2"/>
    <x v="4"/>
    <n v="85000"/>
  </r>
  <r>
    <x v="201"/>
    <x v="2"/>
    <x v="2"/>
    <x v="6"/>
    <n v="2145"/>
  </r>
  <r>
    <x v="202"/>
    <x v="0"/>
    <x v="1"/>
    <x v="3"/>
    <n v="3377"/>
  </r>
  <r>
    <x v="202"/>
    <x v="0"/>
    <x v="1"/>
    <x v="4"/>
    <n v="50151"/>
  </r>
  <r>
    <x v="202"/>
    <x v="0"/>
    <x v="2"/>
    <x v="0"/>
    <n v="66046"/>
  </r>
  <r>
    <x v="202"/>
    <x v="0"/>
    <x v="2"/>
    <x v="1"/>
    <n v="31221"/>
  </r>
  <r>
    <x v="202"/>
    <x v="0"/>
    <x v="2"/>
    <x v="2"/>
    <n v="52899"/>
  </r>
  <r>
    <x v="202"/>
    <x v="2"/>
    <x v="2"/>
    <x v="0"/>
    <n v="12000"/>
  </r>
  <r>
    <x v="202"/>
    <x v="2"/>
    <x v="2"/>
    <x v="2"/>
    <n v="2900"/>
  </r>
  <r>
    <x v="203"/>
    <x v="0"/>
    <x v="0"/>
    <x v="0"/>
    <n v="181727"/>
  </r>
  <r>
    <x v="203"/>
    <x v="0"/>
    <x v="0"/>
    <x v="1"/>
    <n v="73220"/>
  </r>
  <r>
    <x v="203"/>
    <x v="0"/>
    <x v="0"/>
    <x v="2"/>
    <n v="85686"/>
  </r>
  <r>
    <x v="203"/>
    <x v="0"/>
    <x v="0"/>
    <x v="3"/>
    <n v="1000"/>
  </r>
  <r>
    <x v="203"/>
    <x v="0"/>
    <x v="0"/>
    <x v="4"/>
    <n v="500"/>
  </r>
  <r>
    <x v="203"/>
    <x v="0"/>
    <x v="0"/>
    <x v="6"/>
    <n v="500"/>
  </r>
  <r>
    <x v="203"/>
    <x v="0"/>
    <x v="7"/>
    <x v="1"/>
    <n v="53115"/>
  </r>
  <r>
    <x v="203"/>
    <x v="0"/>
    <x v="7"/>
    <x v="2"/>
    <n v="34353"/>
  </r>
  <r>
    <x v="203"/>
    <x v="0"/>
    <x v="1"/>
    <x v="0"/>
    <n v="710254"/>
  </r>
  <r>
    <x v="203"/>
    <x v="0"/>
    <x v="1"/>
    <x v="2"/>
    <n v="282663"/>
  </r>
  <r>
    <x v="203"/>
    <x v="0"/>
    <x v="1"/>
    <x v="3"/>
    <n v="2500"/>
  </r>
  <r>
    <x v="203"/>
    <x v="0"/>
    <x v="1"/>
    <x v="4"/>
    <n v="5000"/>
  </r>
  <r>
    <x v="203"/>
    <x v="0"/>
    <x v="2"/>
    <x v="5"/>
    <n v="1700"/>
  </r>
  <r>
    <x v="203"/>
    <x v="0"/>
    <x v="2"/>
    <x v="0"/>
    <n v="849583"/>
  </r>
  <r>
    <x v="203"/>
    <x v="0"/>
    <x v="2"/>
    <x v="1"/>
    <n v="601554"/>
  </r>
  <r>
    <x v="203"/>
    <x v="0"/>
    <x v="2"/>
    <x v="2"/>
    <n v="725034"/>
  </r>
  <r>
    <x v="203"/>
    <x v="0"/>
    <x v="2"/>
    <x v="3"/>
    <n v="6700"/>
  </r>
  <r>
    <x v="203"/>
    <x v="0"/>
    <x v="2"/>
    <x v="4"/>
    <n v="3500"/>
  </r>
  <r>
    <x v="203"/>
    <x v="0"/>
    <x v="2"/>
    <x v="6"/>
    <n v="500"/>
  </r>
  <r>
    <x v="203"/>
    <x v="0"/>
    <x v="3"/>
    <x v="0"/>
    <n v="38177"/>
  </r>
  <r>
    <x v="203"/>
    <x v="0"/>
    <x v="3"/>
    <x v="1"/>
    <n v="1000"/>
  </r>
  <r>
    <x v="203"/>
    <x v="0"/>
    <x v="3"/>
    <x v="2"/>
    <n v="9111"/>
  </r>
  <r>
    <x v="203"/>
    <x v="0"/>
    <x v="3"/>
    <x v="3"/>
    <n v="200"/>
  </r>
  <r>
    <x v="203"/>
    <x v="0"/>
    <x v="3"/>
    <x v="6"/>
    <n v="500"/>
  </r>
  <r>
    <x v="203"/>
    <x v="0"/>
    <x v="6"/>
    <x v="3"/>
    <n v="600"/>
  </r>
  <r>
    <x v="203"/>
    <x v="0"/>
    <x v="4"/>
    <x v="0"/>
    <n v="27882"/>
  </r>
  <r>
    <x v="203"/>
    <x v="0"/>
    <x v="4"/>
    <x v="2"/>
    <n v="6270"/>
  </r>
  <r>
    <x v="203"/>
    <x v="1"/>
    <x v="2"/>
    <x v="1"/>
    <n v="48532"/>
  </r>
  <r>
    <x v="203"/>
    <x v="1"/>
    <x v="2"/>
    <x v="2"/>
    <n v="26386"/>
  </r>
  <r>
    <x v="203"/>
    <x v="1"/>
    <x v="2"/>
    <x v="3"/>
    <n v="6955"/>
  </r>
  <r>
    <x v="203"/>
    <x v="1"/>
    <x v="2"/>
    <x v="4"/>
    <n v="9901"/>
  </r>
  <r>
    <x v="203"/>
    <x v="1"/>
    <x v="3"/>
    <x v="3"/>
    <n v="3876"/>
  </r>
  <r>
    <x v="203"/>
    <x v="2"/>
    <x v="1"/>
    <x v="6"/>
    <n v="7102"/>
  </r>
  <r>
    <x v="203"/>
    <x v="2"/>
    <x v="2"/>
    <x v="0"/>
    <n v="278705"/>
  </r>
  <r>
    <x v="203"/>
    <x v="2"/>
    <x v="2"/>
    <x v="1"/>
    <n v="3700"/>
  </r>
  <r>
    <x v="203"/>
    <x v="2"/>
    <x v="2"/>
    <x v="2"/>
    <n v="116583"/>
  </r>
  <r>
    <x v="203"/>
    <x v="2"/>
    <x v="2"/>
    <x v="3"/>
    <n v="5077"/>
  </r>
  <r>
    <x v="203"/>
    <x v="2"/>
    <x v="2"/>
    <x v="4"/>
    <n v="8851"/>
  </r>
  <r>
    <x v="203"/>
    <x v="2"/>
    <x v="3"/>
    <x v="0"/>
    <n v="12204"/>
  </r>
  <r>
    <x v="203"/>
    <x v="2"/>
    <x v="3"/>
    <x v="1"/>
    <n v="2000"/>
  </r>
  <r>
    <x v="203"/>
    <x v="2"/>
    <x v="3"/>
    <x v="2"/>
    <n v="3241"/>
  </r>
  <r>
    <x v="203"/>
    <x v="2"/>
    <x v="3"/>
    <x v="3"/>
    <n v="4999"/>
  </r>
  <r>
    <x v="203"/>
    <x v="2"/>
    <x v="3"/>
    <x v="6"/>
    <n v="5500"/>
  </r>
  <r>
    <x v="203"/>
    <x v="2"/>
    <x v="6"/>
    <x v="3"/>
    <n v="6000"/>
  </r>
  <r>
    <x v="203"/>
    <x v="2"/>
    <x v="8"/>
    <x v="3"/>
    <n v="3000"/>
  </r>
  <r>
    <x v="204"/>
    <x v="0"/>
    <x v="0"/>
    <x v="0"/>
    <n v="1049108"/>
  </r>
  <r>
    <x v="204"/>
    <x v="0"/>
    <x v="0"/>
    <x v="1"/>
    <n v="530927"/>
  </r>
  <r>
    <x v="204"/>
    <x v="0"/>
    <x v="0"/>
    <x v="2"/>
    <n v="515413"/>
  </r>
  <r>
    <x v="204"/>
    <x v="0"/>
    <x v="9"/>
    <x v="0"/>
    <n v="227574"/>
  </r>
  <r>
    <x v="204"/>
    <x v="0"/>
    <x v="9"/>
    <x v="1"/>
    <n v="95904"/>
  </r>
  <r>
    <x v="204"/>
    <x v="0"/>
    <x v="9"/>
    <x v="2"/>
    <n v="121580"/>
  </r>
  <r>
    <x v="204"/>
    <x v="0"/>
    <x v="9"/>
    <x v="3"/>
    <n v="400"/>
  </r>
  <r>
    <x v="204"/>
    <x v="0"/>
    <x v="9"/>
    <x v="6"/>
    <n v="1600"/>
  </r>
  <r>
    <x v="204"/>
    <x v="0"/>
    <x v="7"/>
    <x v="1"/>
    <n v="6922"/>
  </r>
  <r>
    <x v="204"/>
    <x v="0"/>
    <x v="7"/>
    <x v="2"/>
    <n v="3608"/>
  </r>
  <r>
    <x v="204"/>
    <x v="0"/>
    <x v="1"/>
    <x v="0"/>
    <n v="7047360"/>
  </r>
  <r>
    <x v="204"/>
    <x v="0"/>
    <x v="1"/>
    <x v="1"/>
    <n v="422199"/>
  </r>
  <r>
    <x v="204"/>
    <x v="0"/>
    <x v="1"/>
    <x v="2"/>
    <n v="2735699"/>
  </r>
  <r>
    <x v="204"/>
    <x v="0"/>
    <x v="1"/>
    <x v="3"/>
    <n v="94500"/>
  </r>
  <r>
    <x v="204"/>
    <x v="0"/>
    <x v="1"/>
    <x v="4"/>
    <n v="7000"/>
  </r>
  <r>
    <x v="204"/>
    <x v="0"/>
    <x v="1"/>
    <x v="6"/>
    <n v="6800"/>
  </r>
  <r>
    <x v="204"/>
    <x v="0"/>
    <x v="2"/>
    <x v="5"/>
    <n v="134050"/>
  </r>
  <r>
    <x v="204"/>
    <x v="0"/>
    <x v="2"/>
    <x v="0"/>
    <n v="12082866"/>
  </r>
  <r>
    <x v="204"/>
    <x v="0"/>
    <x v="2"/>
    <x v="1"/>
    <n v="10956733"/>
  </r>
  <r>
    <x v="204"/>
    <x v="0"/>
    <x v="2"/>
    <x v="2"/>
    <n v="9793474"/>
  </r>
  <r>
    <x v="204"/>
    <x v="0"/>
    <x v="2"/>
    <x v="3"/>
    <n v="191890"/>
  </r>
  <r>
    <x v="204"/>
    <x v="0"/>
    <x v="2"/>
    <x v="4"/>
    <n v="1234990"/>
  </r>
  <r>
    <x v="204"/>
    <x v="0"/>
    <x v="2"/>
    <x v="6"/>
    <n v="29280"/>
  </r>
  <r>
    <x v="204"/>
    <x v="0"/>
    <x v="2"/>
    <x v="7"/>
    <n v="10000"/>
  </r>
  <r>
    <x v="204"/>
    <x v="1"/>
    <x v="2"/>
    <x v="0"/>
    <n v="417817"/>
  </r>
  <r>
    <x v="204"/>
    <x v="1"/>
    <x v="2"/>
    <x v="2"/>
    <n v="145332"/>
  </r>
  <r>
    <x v="204"/>
    <x v="2"/>
    <x v="2"/>
    <x v="0"/>
    <n v="2890463"/>
  </r>
  <r>
    <x v="204"/>
    <x v="2"/>
    <x v="2"/>
    <x v="2"/>
    <n v="1041635"/>
  </r>
  <r>
    <x v="205"/>
    <x v="0"/>
    <x v="1"/>
    <x v="4"/>
    <n v="128800"/>
  </r>
  <r>
    <x v="205"/>
    <x v="0"/>
    <x v="2"/>
    <x v="1"/>
    <n v="2535"/>
  </r>
  <r>
    <x v="205"/>
    <x v="0"/>
    <x v="2"/>
    <x v="2"/>
    <n v="1776"/>
  </r>
  <r>
    <x v="205"/>
    <x v="0"/>
    <x v="2"/>
    <x v="3"/>
    <n v="2000"/>
  </r>
  <r>
    <x v="205"/>
    <x v="2"/>
    <x v="1"/>
    <x v="4"/>
    <n v="6775"/>
  </r>
  <r>
    <x v="205"/>
    <x v="3"/>
    <x v="2"/>
    <x v="1"/>
    <n v="5071"/>
  </r>
  <r>
    <x v="205"/>
    <x v="3"/>
    <x v="2"/>
    <x v="2"/>
    <n v="3552"/>
  </r>
  <r>
    <x v="206"/>
    <x v="0"/>
    <x v="0"/>
    <x v="0"/>
    <n v="87631"/>
  </r>
  <r>
    <x v="206"/>
    <x v="0"/>
    <x v="0"/>
    <x v="1"/>
    <n v="8705"/>
  </r>
  <r>
    <x v="206"/>
    <x v="0"/>
    <x v="0"/>
    <x v="2"/>
    <n v="32498"/>
  </r>
  <r>
    <x v="206"/>
    <x v="0"/>
    <x v="0"/>
    <x v="3"/>
    <n v="450"/>
  </r>
  <r>
    <x v="206"/>
    <x v="0"/>
    <x v="0"/>
    <x v="4"/>
    <n v="3200"/>
  </r>
  <r>
    <x v="206"/>
    <x v="0"/>
    <x v="0"/>
    <x v="6"/>
    <n v="1100"/>
  </r>
  <r>
    <x v="206"/>
    <x v="0"/>
    <x v="1"/>
    <x v="3"/>
    <n v="250"/>
  </r>
  <r>
    <x v="206"/>
    <x v="0"/>
    <x v="1"/>
    <x v="4"/>
    <n v="117569"/>
  </r>
  <r>
    <x v="206"/>
    <x v="0"/>
    <x v="2"/>
    <x v="0"/>
    <n v="270738"/>
  </r>
  <r>
    <x v="206"/>
    <x v="0"/>
    <x v="2"/>
    <x v="1"/>
    <n v="173646"/>
  </r>
  <r>
    <x v="206"/>
    <x v="0"/>
    <x v="2"/>
    <x v="2"/>
    <n v="197016"/>
  </r>
  <r>
    <x v="206"/>
    <x v="0"/>
    <x v="2"/>
    <x v="3"/>
    <n v="1200"/>
  </r>
  <r>
    <x v="206"/>
    <x v="0"/>
    <x v="2"/>
    <x v="4"/>
    <n v="13000"/>
  </r>
  <r>
    <x v="206"/>
    <x v="0"/>
    <x v="2"/>
    <x v="6"/>
    <n v="500"/>
  </r>
  <r>
    <x v="206"/>
    <x v="0"/>
    <x v="8"/>
    <x v="3"/>
    <n v="1750"/>
  </r>
  <r>
    <x v="206"/>
    <x v="0"/>
    <x v="4"/>
    <x v="0"/>
    <n v="5547"/>
  </r>
  <r>
    <x v="206"/>
    <x v="0"/>
    <x v="4"/>
    <x v="2"/>
    <n v="1278"/>
  </r>
  <r>
    <x v="206"/>
    <x v="1"/>
    <x v="2"/>
    <x v="1"/>
    <n v="6404"/>
  </r>
  <r>
    <x v="206"/>
    <x v="1"/>
    <x v="2"/>
    <x v="2"/>
    <n v="4270"/>
  </r>
  <r>
    <x v="206"/>
    <x v="2"/>
    <x v="1"/>
    <x v="4"/>
    <n v="88551"/>
  </r>
  <r>
    <x v="207"/>
    <x v="0"/>
    <x v="0"/>
    <x v="5"/>
    <n v="250"/>
  </r>
  <r>
    <x v="207"/>
    <x v="0"/>
    <x v="0"/>
    <x v="0"/>
    <n v="186717"/>
  </r>
  <r>
    <x v="207"/>
    <x v="0"/>
    <x v="0"/>
    <x v="1"/>
    <n v="54479"/>
  </r>
  <r>
    <x v="207"/>
    <x v="0"/>
    <x v="0"/>
    <x v="2"/>
    <n v="79871"/>
  </r>
  <r>
    <x v="207"/>
    <x v="0"/>
    <x v="0"/>
    <x v="3"/>
    <n v="3660"/>
  </r>
  <r>
    <x v="207"/>
    <x v="0"/>
    <x v="0"/>
    <x v="4"/>
    <n v="11770"/>
  </r>
  <r>
    <x v="207"/>
    <x v="0"/>
    <x v="0"/>
    <x v="6"/>
    <n v="1500"/>
  </r>
  <r>
    <x v="207"/>
    <x v="0"/>
    <x v="9"/>
    <x v="4"/>
    <n v="6750"/>
  </r>
  <r>
    <x v="207"/>
    <x v="0"/>
    <x v="1"/>
    <x v="0"/>
    <n v="101782"/>
  </r>
  <r>
    <x v="207"/>
    <x v="0"/>
    <x v="1"/>
    <x v="1"/>
    <n v="8288"/>
  </r>
  <r>
    <x v="207"/>
    <x v="0"/>
    <x v="1"/>
    <x v="2"/>
    <n v="36812"/>
  </r>
  <r>
    <x v="207"/>
    <x v="0"/>
    <x v="1"/>
    <x v="3"/>
    <n v="8700"/>
  </r>
  <r>
    <x v="207"/>
    <x v="0"/>
    <x v="1"/>
    <x v="4"/>
    <n v="294200"/>
  </r>
  <r>
    <x v="207"/>
    <x v="0"/>
    <x v="2"/>
    <x v="5"/>
    <n v="2650"/>
  </r>
  <r>
    <x v="207"/>
    <x v="0"/>
    <x v="2"/>
    <x v="0"/>
    <n v="524331"/>
  </r>
  <r>
    <x v="207"/>
    <x v="0"/>
    <x v="2"/>
    <x v="1"/>
    <n v="371046"/>
  </r>
  <r>
    <x v="207"/>
    <x v="0"/>
    <x v="2"/>
    <x v="2"/>
    <n v="417108"/>
  </r>
  <r>
    <x v="207"/>
    <x v="0"/>
    <x v="2"/>
    <x v="3"/>
    <n v="12150"/>
  </r>
  <r>
    <x v="207"/>
    <x v="0"/>
    <x v="2"/>
    <x v="4"/>
    <n v="4694725"/>
  </r>
  <r>
    <x v="207"/>
    <x v="0"/>
    <x v="2"/>
    <x v="6"/>
    <n v="100"/>
  </r>
  <r>
    <x v="207"/>
    <x v="0"/>
    <x v="3"/>
    <x v="5"/>
    <n v="1600"/>
  </r>
  <r>
    <x v="207"/>
    <x v="0"/>
    <x v="3"/>
    <x v="0"/>
    <n v="7200"/>
  </r>
  <r>
    <x v="207"/>
    <x v="0"/>
    <x v="3"/>
    <x v="1"/>
    <n v="1751"/>
  </r>
  <r>
    <x v="207"/>
    <x v="0"/>
    <x v="3"/>
    <x v="2"/>
    <n v="1554"/>
  </r>
  <r>
    <x v="207"/>
    <x v="0"/>
    <x v="3"/>
    <x v="3"/>
    <n v="1600"/>
  </r>
  <r>
    <x v="207"/>
    <x v="0"/>
    <x v="3"/>
    <x v="4"/>
    <n v="8495"/>
  </r>
  <r>
    <x v="207"/>
    <x v="0"/>
    <x v="3"/>
    <x v="6"/>
    <n v="5425"/>
  </r>
  <r>
    <x v="207"/>
    <x v="0"/>
    <x v="6"/>
    <x v="3"/>
    <n v="5500"/>
  </r>
  <r>
    <x v="207"/>
    <x v="0"/>
    <x v="8"/>
    <x v="3"/>
    <n v="6000"/>
  </r>
  <r>
    <x v="207"/>
    <x v="0"/>
    <x v="8"/>
    <x v="4"/>
    <n v="2600"/>
  </r>
  <r>
    <x v="207"/>
    <x v="0"/>
    <x v="4"/>
    <x v="0"/>
    <n v="14125"/>
  </r>
  <r>
    <x v="207"/>
    <x v="0"/>
    <x v="4"/>
    <x v="2"/>
    <n v="25574"/>
  </r>
  <r>
    <x v="207"/>
    <x v="1"/>
    <x v="2"/>
    <x v="1"/>
    <n v="7091"/>
  </r>
  <r>
    <x v="207"/>
    <x v="1"/>
    <x v="2"/>
    <x v="2"/>
    <n v="4902"/>
  </r>
  <r>
    <x v="207"/>
    <x v="2"/>
    <x v="2"/>
    <x v="0"/>
    <n v="169762"/>
  </r>
  <r>
    <x v="207"/>
    <x v="2"/>
    <x v="2"/>
    <x v="1"/>
    <n v="236790"/>
  </r>
  <r>
    <x v="207"/>
    <x v="2"/>
    <x v="2"/>
    <x v="2"/>
    <n v="201414"/>
  </r>
  <r>
    <x v="208"/>
    <x v="0"/>
    <x v="0"/>
    <x v="0"/>
    <n v="253859"/>
  </r>
  <r>
    <x v="208"/>
    <x v="0"/>
    <x v="0"/>
    <x v="1"/>
    <n v="52970"/>
  </r>
  <r>
    <x v="208"/>
    <x v="0"/>
    <x v="0"/>
    <x v="2"/>
    <n v="105786"/>
  </r>
  <r>
    <x v="208"/>
    <x v="0"/>
    <x v="0"/>
    <x v="3"/>
    <n v="750"/>
  </r>
  <r>
    <x v="208"/>
    <x v="0"/>
    <x v="7"/>
    <x v="1"/>
    <n v="58365"/>
  </r>
  <r>
    <x v="208"/>
    <x v="0"/>
    <x v="7"/>
    <x v="2"/>
    <n v="60455"/>
  </r>
  <r>
    <x v="208"/>
    <x v="0"/>
    <x v="1"/>
    <x v="1"/>
    <n v="36281"/>
  </r>
  <r>
    <x v="208"/>
    <x v="0"/>
    <x v="1"/>
    <x v="2"/>
    <n v="19710"/>
  </r>
  <r>
    <x v="208"/>
    <x v="0"/>
    <x v="1"/>
    <x v="3"/>
    <n v="5750"/>
  </r>
  <r>
    <x v="208"/>
    <x v="0"/>
    <x v="1"/>
    <x v="4"/>
    <n v="636000"/>
  </r>
  <r>
    <x v="208"/>
    <x v="0"/>
    <x v="1"/>
    <x v="6"/>
    <n v="500"/>
  </r>
  <r>
    <x v="208"/>
    <x v="0"/>
    <x v="2"/>
    <x v="0"/>
    <n v="1140161"/>
  </r>
  <r>
    <x v="208"/>
    <x v="0"/>
    <x v="2"/>
    <x v="1"/>
    <n v="1214397"/>
  </r>
  <r>
    <x v="208"/>
    <x v="0"/>
    <x v="2"/>
    <x v="2"/>
    <n v="1186844"/>
  </r>
  <r>
    <x v="208"/>
    <x v="0"/>
    <x v="2"/>
    <x v="3"/>
    <n v="3000"/>
  </r>
  <r>
    <x v="208"/>
    <x v="0"/>
    <x v="2"/>
    <x v="4"/>
    <n v="2500"/>
  </r>
  <r>
    <x v="208"/>
    <x v="0"/>
    <x v="2"/>
    <x v="6"/>
    <n v="700"/>
  </r>
  <r>
    <x v="208"/>
    <x v="0"/>
    <x v="3"/>
    <x v="4"/>
    <n v="1500"/>
  </r>
  <r>
    <x v="208"/>
    <x v="0"/>
    <x v="3"/>
    <x v="6"/>
    <n v="500"/>
  </r>
  <r>
    <x v="208"/>
    <x v="0"/>
    <x v="8"/>
    <x v="3"/>
    <n v="500"/>
  </r>
  <r>
    <x v="208"/>
    <x v="0"/>
    <x v="8"/>
    <x v="4"/>
    <n v="500"/>
  </r>
  <r>
    <x v="208"/>
    <x v="1"/>
    <x v="1"/>
    <x v="0"/>
    <n v="68814"/>
  </r>
  <r>
    <x v="208"/>
    <x v="1"/>
    <x v="1"/>
    <x v="2"/>
    <n v="36369"/>
  </r>
  <r>
    <x v="208"/>
    <x v="1"/>
    <x v="1"/>
    <x v="3"/>
    <n v="515"/>
  </r>
  <r>
    <x v="208"/>
    <x v="1"/>
    <x v="1"/>
    <x v="4"/>
    <n v="49000"/>
  </r>
  <r>
    <x v="208"/>
    <x v="1"/>
    <x v="2"/>
    <x v="1"/>
    <n v="10584"/>
  </r>
  <r>
    <x v="208"/>
    <x v="1"/>
    <x v="2"/>
    <x v="2"/>
    <n v="5718"/>
  </r>
  <r>
    <x v="208"/>
    <x v="2"/>
    <x v="1"/>
    <x v="0"/>
    <n v="230592"/>
  </r>
  <r>
    <x v="208"/>
    <x v="2"/>
    <x v="1"/>
    <x v="1"/>
    <n v="77916"/>
  </r>
  <r>
    <x v="208"/>
    <x v="2"/>
    <x v="1"/>
    <x v="2"/>
    <n v="142396"/>
  </r>
  <r>
    <x v="208"/>
    <x v="2"/>
    <x v="1"/>
    <x v="4"/>
    <n v="135744"/>
  </r>
  <r>
    <x v="208"/>
    <x v="2"/>
    <x v="2"/>
    <x v="0"/>
    <n v="3000"/>
  </r>
  <r>
    <x v="208"/>
    <x v="2"/>
    <x v="2"/>
    <x v="1"/>
    <n v="15755"/>
  </r>
  <r>
    <x v="208"/>
    <x v="2"/>
    <x v="2"/>
    <x v="2"/>
    <n v="8288"/>
  </r>
  <r>
    <x v="209"/>
    <x v="0"/>
    <x v="0"/>
    <x v="0"/>
    <n v="25520"/>
  </r>
  <r>
    <x v="209"/>
    <x v="0"/>
    <x v="0"/>
    <x v="2"/>
    <n v="5568"/>
  </r>
  <r>
    <x v="209"/>
    <x v="0"/>
    <x v="1"/>
    <x v="3"/>
    <n v="3000"/>
  </r>
  <r>
    <x v="209"/>
    <x v="0"/>
    <x v="1"/>
    <x v="4"/>
    <n v="167800"/>
  </r>
  <r>
    <x v="209"/>
    <x v="0"/>
    <x v="2"/>
    <x v="0"/>
    <n v="93000"/>
  </r>
  <r>
    <x v="209"/>
    <x v="0"/>
    <x v="2"/>
    <x v="2"/>
    <n v="20289"/>
  </r>
  <r>
    <x v="209"/>
    <x v="1"/>
    <x v="2"/>
    <x v="0"/>
    <n v="66000"/>
  </r>
  <r>
    <x v="209"/>
    <x v="1"/>
    <x v="2"/>
    <x v="2"/>
    <n v="14399"/>
  </r>
  <r>
    <x v="210"/>
    <x v="0"/>
    <x v="0"/>
    <x v="1"/>
    <n v="23450"/>
  </r>
  <r>
    <x v="210"/>
    <x v="0"/>
    <x v="0"/>
    <x v="2"/>
    <n v="14434"/>
  </r>
  <r>
    <x v="210"/>
    <x v="0"/>
    <x v="0"/>
    <x v="3"/>
    <n v="700"/>
  </r>
  <r>
    <x v="210"/>
    <x v="0"/>
    <x v="0"/>
    <x v="4"/>
    <n v="900"/>
  </r>
  <r>
    <x v="210"/>
    <x v="0"/>
    <x v="1"/>
    <x v="3"/>
    <n v="5550"/>
  </r>
  <r>
    <x v="210"/>
    <x v="0"/>
    <x v="1"/>
    <x v="4"/>
    <n v="327060"/>
  </r>
  <r>
    <x v="210"/>
    <x v="0"/>
    <x v="2"/>
    <x v="0"/>
    <n v="515014"/>
  </r>
  <r>
    <x v="210"/>
    <x v="0"/>
    <x v="2"/>
    <x v="1"/>
    <n v="210797"/>
  </r>
  <r>
    <x v="210"/>
    <x v="0"/>
    <x v="2"/>
    <x v="2"/>
    <n v="346048"/>
  </r>
  <r>
    <x v="210"/>
    <x v="0"/>
    <x v="2"/>
    <x v="3"/>
    <n v="1500"/>
  </r>
  <r>
    <x v="210"/>
    <x v="0"/>
    <x v="3"/>
    <x v="4"/>
    <n v="1000"/>
  </r>
  <r>
    <x v="210"/>
    <x v="0"/>
    <x v="6"/>
    <x v="3"/>
    <n v="1500"/>
  </r>
  <r>
    <x v="210"/>
    <x v="0"/>
    <x v="6"/>
    <x v="4"/>
    <n v="2500"/>
  </r>
  <r>
    <x v="210"/>
    <x v="0"/>
    <x v="4"/>
    <x v="0"/>
    <n v="8489"/>
  </r>
  <r>
    <x v="210"/>
    <x v="0"/>
    <x v="4"/>
    <x v="2"/>
    <n v="1973"/>
  </r>
  <r>
    <x v="210"/>
    <x v="2"/>
    <x v="1"/>
    <x v="4"/>
    <n v="187941"/>
  </r>
  <r>
    <x v="210"/>
    <x v="2"/>
    <x v="2"/>
    <x v="3"/>
    <n v="1250"/>
  </r>
  <r>
    <x v="211"/>
    <x v="0"/>
    <x v="0"/>
    <x v="0"/>
    <n v="92892"/>
  </r>
  <r>
    <x v="211"/>
    <x v="0"/>
    <x v="0"/>
    <x v="2"/>
    <n v="24476"/>
  </r>
  <r>
    <x v="211"/>
    <x v="0"/>
    <x v="9"/>
    <x v="4"/>
    <n v="70000"/>
  </r>
  <r>
    <x v="211"/>
    <x v="0"/>
    <x v="1"/>
    <x v="4"/>
    <n v="120000"/>
  </r>
  <r>
    <x v="211"/>
    <x v="0"/>
    <x v="2"/>
    <x v="0"/>
    <n v="38249"/>
  </r>
  <r>
    <x v="211"/>
    <x v="0"/>
    <x v="2"/>
    <x v="1"/>
    <n v="139893"/>
  </r>
  <r>
    <x v="211"/>
    <x v="0"/>
    <x v="2"/>
    <x v="2"/>
    <n v="85409"/>
  </r>
  <r>
    <x v="211"/>
    <x v="0"/>
    <x v="2"/>
    <x v="4"/>
    <n v="60000"/>
  </r>
  <r>
    <x v="211"/>
    <x v="2"/>
    <x v="2"/>
    <x v="0"/>
    <n v="38250"/>
  </r>
  <r>
    <x v="211"/>
    <x v="2"/>
    <x v="2"/>
    <x v="2"/>
    <n v="10079"/>
  </r>
  <r>
    <x v="212"/>
    <x v="2"/>
    <x v="2"/>
    <x v="3"/>
    <n v="131050"/>
  </r>
  <r>
    <x v="213"/>
    <x v="0"/>
    <x v="0"/>
    <x v="0"/>
    <n v="69300"/>
  </r>
  <r>
    <x v="213"/>
    <x v="0"/>
    <x v="0"/>
    <x v="2"/>
    <n v="22969"/>
  </r>
  <r>
    <x v="213"/>
    <x v="0"/>
    <x v="1"/>
    <x v="5"/>
    <n v="2000"/>
  </r>
  <r>
    <x v="213"/>
    <x v="0"/>
    <x v="1"/>
    <x v="0"/>
    <n v="64191"/>
  </r>
  <r>
    <x v="213"/>
    <x v="0"/>
    <x v="1"/>
    <x v="2"/>
    <n v="26967"/>
  </r>
  <r>
    <x v="213"/>
    <x v="0"/>
    <x v="1"/>
    <x v="4"/>
    <n v="115250"/>
  </r>
  <r>
    <x v="213"/>
    <x v="0"/>
    <x v="2"/>
    <x v="0"/>
    <n v="120799"/>
  </r>
  <r>
    <x v="213"/>
    <x v="0"/>
    <x v="2"/>
    <x v="1"/>
    <n v="152817"/>
  </r>
  <r>
    <x v="213"/>
    <x v="0"/>
    <x v="2"/>
    <x v="2"/>
    <n v="139052"/>
  </r>
  <r>
    <x v="213"/>
    <x v="0"/>
    <x v="2"/>
    <x v="3"/>
    <n v="96792"/>
  </r>
  <r>
    <x v="213"/>
    <x v="0"/>
    <x v="3"/>
    <x v="4"/>
    <n v="37750"/>
  </r>
  <r>
    <x v="213"/>
    <x v="0"/>
    <x v="3"/>
    <x v="6"/>
    <n v="800"/>
  </r>
  <r>
    <x v="213"/>
    <x v="0"/>
    <x v="8"/>
    <x v="3"/>
    <n v="7750"/>
  </r>
  <r>
    <x v="213"/>
    <x v="2"/>
    <x v="2"/>
    <x v="0"/>
    <n v="79814"/>
  </r>
  <r>
    <x v="213"/>
    <x v="2"/>
    <x v="2"/>
    <x v="1"/>
    <n v="17944"/>
  </r>
  <r>
    <x v="213"/>
    <x v="2"/>
    <x v="2"/>
    <x v="2"/>
    <n v="43010"/>
  </r>
  <r>
    <x v="213"/>
    <x v="2"/>
    <x v="2"/>
    <x v="3"/>
    <n v="11932"/>
  </r>
  <r>
    <x v="214"/>
    <x v="0"/>
    <x v="0"/>
    <x v="0"/>
    <n v="604420"/>
  </r>
  <r>
    <x v="214"/>
    <x v="0"/>
    <x v="0"/>
    <x v="1"/>
    <n v="513313"/>
  </r>
  <r>
    <x v="214"/>
    <x v="0"/>
    <x v="0"/>
    <x v="2"/>
    <n v="367934"/>
  </r>
  <r>
    <x v="214"/>
    <x v="0"/>
    <x v="0"/>
    <x v="3"/>
    <n v="15300"/>
  </r>
  <r>
    <x v="214"/>
    <x v="0"/>
    <x v="10"/>
    <x v="0"/>
    <n v="266343"/>
  </r>
  <r>
    <x v="214"/>
    <x v="0"/>
    <x v="10"/>
    <x v="1"/>
    <n v="187390"/>
  </r>
  <r>
    <x v="214"/>
    <x v="0"/>
    <x v="10"/>
    <x v="2"/>
    <n v="178097"/>
  </r>
  <r>
    <x v="214"/>
    <x v="0"/>
    <x v="9"/>
    <x v="0"/>
    <n v="109525"/>
  </r>
  <r>
    <x v="214"/>
    <x v="0"/>
    <x v="9"/>
    <x v="2"/>
    <n v="38279"/>
  </r>
  <r>
    <x v="214"/>
    <x v="0"/>
    <x v="7"/>
    <x v="1"/>
    <n v="316412"/>
  </r>
  <r>
    <x v="214"/>
    <x v="0"/>
    <x v="7"/>
    <x v="2"/>
    <n v="153233"/>
  </r>
  <r>
    <x v="214"/>
    <x v="0"/>
    <x v="1"/>
    <x v="0"/>
    <n v="6529813"/>
  </r>
  <r>
    <x v="214"/>
    <x v="0"/>
    <x v="1"/>
    <x v="1"/>
    <n v="983408"/>
  </r>
  <r>
    <x v="214"/>
    <x v="0"/>
    <x v="1"/>
    <x v="2"/>
    <n v="2939156"/>
  </r>
  <r>
    <x v="214"/>
    <x v="0"/>
    <x v="1"/>
    <x v="3"/>
    <n v="4430"/>
  </r>
  <r>
    <x v="214"/>
    <x v="0"/>
    <x v="1"/>
    <x v="4"/>
    <n v="187100"/>
  </r>
  <r>
    <x v="214"/>
    <x v="0"/>
    <x v="1"/>
    <x v="6"/>
    <n v="3400"/>
  </r>
  <r>
    <x v="214"/>
    <x v="0"/>
    <x v="2"/>
    <x v="0"/>
    <n v="9381568"/>
  </r>
  <r>
    <x v="214"/>
    <x v="0"/>
    <x v="2"/>
    <x v="1"/>
    <n v="9175942"/>
  </r>
  <r>
    <x v="214"/>
    <x v="0"/>
    <x v="2"/>
    <x v="2"/>
    <n v="8798238"/>
  </r>
  <r>
    <x v="214"/>
    <x v="0"/>
    <x v="2"/>
    <x v="3"/>
    <n v="29178"/>
  </r>
  <r>
    <x v="214"/>
    <x v="0"/>
    <x v="2"/>
    <x v="4"/>
    <n v="65000"/>
  </r>
  <r>
    <x v="214"/>
    <x v="0"/>
    <x v="2"/>
    <x v="6"/>
    <n v="3000"/>
  </r>
  <r>
    <x v="214"/>
    <x v="0"/>
    <x v="3"/>
    <x v="0"/>
    <n v="456959"/>
  </r>
  <r>
    <x v="214"/>
    <x v="0"/>
    <x v="3"/>
    <x v="1"/>
    <n v="4115"/>
  </r>
  <r>
    <x v="214"/>
    <x v="0"/>
    <x v="3"/>
    <x v="2"/>
    <n v="164776"/>
  </r>
  <r>
    <x v="214"/>
    <x v="0"/>
    <x v="3"/>
    <x v="4"/>
    <n v="12319"/>
  </r>
  <r>
    <x v="214"/>
    <x v="2"/>
    <x v="1"/>
    <x v="0"/>
    <n v="68148"/>
  </r>
  <r>
    <x v="214"/>
    <x v="2"/>
    <x v="1"/>
    <x v="1"/>
    <n v="24013"/>
  </r>
  <r>
    <x v="214"/>
    <x v="2"/>
    <x v="1"/>
    <x v="2"/>
    <n v="20767"/>
  </r>
  <r>
    <x v="214"/>
    <x v="2"/>
    <x v="2"/>
    <x v="0"/>
    <n v="2140895"/>
  </r>
  <r>
    <x v="214"/>
    <x v="2"/>
    <x v="2"/>
    <x v="1"/>
    <n v="2112"/>
  </r>
  <r>
    <x v="214"/>
    <x v="2"/>
    <x v="2"/>
    <x v="2"/>
    <n v="741330"/>
  </r>
  <r>
    <x v="214"/>
    <x v="2"/>
    <x v="2"/>
    <x v="3"/>
    <n v="66859"/>
  </r>
  <r>
    <x v="214"/>
    <x v="2"/>
    <x v="3"/>
    <x v="0"/>
    <n v="229378"/>
  </r>
  <r>
    <x v="214"/>
    <x v="2"/>
    <x v="3"/>
    <x v="2"/>
    <n v="54227"/>
  </r>
  <r>
    <x v="215"/>
    <x v="0"/>
    <x v="0"/>
    <x v="0"/>
    <n v="23151"/>
  </r>
  <r>
    <x v="215"/>
    <x v="0"/>
    <x v="0"/>
    <x v="2"/>
    <n v="9028"/>
  </r>
  <r>
    <x v="215"/>
    <x v="0"/>
    <x v="1"/>
    <x v="4"/>
    <n v="86639"/>
  </r>
  <r>
    <x v="215"/>
    <x v="0"/>
    <x v="2"/>
    <x v="0"/>
    <n v="161710"/>
  </r>
  <r>
    <x v="215"/>
    <x v="0"/>
    <x v="2"/>
    <x v="1"/>
    <n v="80167"/>
  </r>
  <r>
    <x v="215"/>
    <x v="0"/>
    <x v="2"/>
    <x v="2"/>
    <n v="129602"/>
  </r>
  <r>
    <x v="215"/>
    <x v="0"/>
    <x v="2"/>
    <x v="3"/>
    <n v="1500"/>
  </r>
  <r>
    <x v="215"/>
    <x v="0"/>
    <x v="2"/>
    <x v="4"/>
    <n v="15500"/>
  </r>
  <r>
    <x v="215"/>
    <x v="0"/>
    <x v="8"/>
    <x v="3"/>
    <n v="5000"/>
  </r>
  <r>
    <x v="215"/>
    <x v="0"/>
    <x v="4"/>
    <x v="4"/>
    <n v="3000"/>
  </r>
  <r>
    <x v="215"/>
    <x v="0"/>
    <x v="4"/>
    <x v="6"/>
    <n v="3339"/>
  </r>
  <r>
    <x v="215"/>
    <x v="2"/>
    <x v="2"/>
    <x v="3"/>
    <n v="10000"/>
  </r>
  <r>
    <x v="215"/>
    <x v="2"/>
    <x v="2"/>
    <x v="4"/>
    <n v="71639"/>
  </r>
  <r>
    <x v="216"/>
    <x v="0"/>
    <x v="0"/>
    <x v="5"/>
    <n v="300"/>
  </r>
  <r>
    <x v="216"/>
    <x v="0"/>
    <x v="0"/>
    <x v="0"/>
    <n v="739762"/>
  </r>
  <r>
    <x v="216"/>
    <x v="0"/>
    <x v="0"/>
    <x v="1"/>
    <n v="192372"/>
  </r>
  <r>
    <x v="216"/>
    <x v="0"/>
    <x v="0"/>
    <x v="2"/>
    <n v="316613"/>
  </r>
  <r>
    <x v="216"/>
    <x v="0"/>
    <x v="0"/>
    <x v="3"/>
    <n v="11000"/>
  </r>
  <r>
    <x v="216"/>
    <x v="0"/>
    <x v="0"/>
    <x v="4"/>
    <n v="106100"/>
  </r>
  <r>
    <x v="216"/>
    <x v="0"/>
    <x v="0"/>
    <x v="6"/>
    <n v="4025"/>
  </r>
  <r>
    <x v="216"/>
    <x v="0"/>
    <x v="0"/>
    <x v="7"/>
    <n v="3000"/>
  </r>
  <r>
    <x v="216"/>
    <x v="0"/>
    <x v="7"/>
    <x v="1"/>
    <n v="220137"/>
  </r>
  <r>
    <x v="216"/>
    <x v="0"/>
    <x v="7"/>
    <x v="2"/>
    <n v="180671"/>
  </r>
  <r>
    <x v="216"/>
    <x v="0"/>
    <x v="1"/>
    <x v="5"/>
    <n v="575"/>
  </r>
  <r>
    <x v="216"/>
    <x v="0"/>
    <x v="1"/>
    <x v="0"/>
    <n v="4307199"/>
  </r>
  <r>
    <x v="216"/>
    <x v="0"/>
    <x v="1"/>
    <x v="1"/>
    <n v="202653"/>
  </r>
  <r>
    <x v="216"/>
    <x v="0"/>
    <x v="1"/>
    <x v="2"/>
    <n v="1736889"/>
  </r>
  <r>
    <x v="216"/>
    <x v="0"/>
    <x v="1"/>
    <x v="3"/>
    <n v="30200"/>
  </r>
  <r>
    <x v="216"/>
    <x v="0"/>
    <x v="1"/>
    <x v="4"/>
    <n v="129924"/>
  </r>
  <r>
    <x v="216"/>
    <x v="0"/>
    <x v="1"/>
    <x v="6"/>
    <n v="7950"/>
  </r>
  <r>
    <x v="216"/>
    <x v="0"/>
    <x v="2"/>
    <x v="5"/>
    <n v="1500"/>
  </r>
  <r>
    <x v="216"/>
    <x v="0"/>
    <x v="2"/>
    <x v="0"/>
    <n v="6811033"/>
  </r>
  <r>
    <x v="216"/>
    <x v="0"/>
    <x v="2"/>
    <x v="1"/>
    <n v="4120645"/>
  </r>
  <r>
    <x v="216"/>
    <x v="0"/>
    <x v="2"/>
    <x v="2"/>
    <n v="5525353"/>
  </r>
  <r>
    <x v="216"/>
    <x v="0"/>
    <x v="2"/>
    <x v="3"/>
    <n v="61600"/>
  </r>
  <r>
    <x v="216"/>
    <x v="0"/>
    <x v="2"/>
    <x v="4"/>
    <n v="471500"/>
  </r>
  <r>
    <x v="216"/>
    <x v="0"/>
    <x v="2"/>
    <x v="6"/>
    <n v="4000"/>
  </r>
  <r>
    <x v="216"/>
    <x v="0"/>
    <x v="3"/>
    <x v="0"/>
    <n v="117669"/>
  </r>
  <r>
    <x v="216"/>
    <x v="0"/>
    <x v="3"/>
    <x v="1"/>
    <n v="28462"/>
  </r>
  <r>
    <x v="216"/>
    <x v="0"/>
    <x v="3"/>
    <x v="2"/>
    <n v="36018"/>
  </r>
  <r>
    <x v="216"/>
    <x v="0"/>
    <x v="3"/>
    <x v="3"/>
    <n v="13515"/>
  </r>
  <r>
    <x v="216"/>
    <x v="0"/>
    <x v="3"/>
    <x v="4"/>
    <n v="28099"/>
  </r>
  <r>
    <x v="216"/>
    <x v="0"/>
    <x v="6"/>
    <x v="3"/>
    <n v="20000"/>
  </r>
  <r>
    <x v="216"/>
    <x v="1"/>
    <x v="8"/>
    <x v="3"/>
    <n v="258435"/>
  </r>
  <r>
    <x v="216"/>
    <x v="2"/>
    <x v="2"/>
    <x v="0"/>
    <n v="1906053"/>
  </r>
  <r>
    <x v="216"/>
    <x v="2"/>
    <x v="2"/>
    <x v="2"/>
    <n v="707353"/>
  </r>
  <r>
    <x v="217"/>
    <x v="0"/>
    <x v="0"/>
    <x v="0"/>
    <n v="112540"/>
  </r>
  <r>
    <x v="217"/>
    <x v="0"/>
    <x v="0"/>
    <x v="1"/>
    <n v="92006"/>
  </r>
  <r>
    <x v="217"/>
    <x v="0"/>
    <x v="0"/>
    <x v="2"/>
    <n v="54666"/>
  </r>
  <r>
    <x v="217"/>
    <x v="0"/>
    <x v="0"/>
    <x v="3"/>
    <n v="500"/>
  </r>
  <r>
    <x v="217"/>
    <x v="0"/>
    <x v="0"/>
    <x v="4"/>
    <n v="6100"/>
  </r>
  <r>
    <x v="217"/>
    <x v="0"/>
    <x v="0"/>
    <x v="6"/>
    <n v="3250"/>
  </r>
  <r>
    <x v="217"/>
    <x v="0"/>
    <x v="1"/>
    <x v="0"/>
    <n v="1199289"/>
  </r>
  <r>
    <x v="217"/>
    <x v="0"/>
    <x v="1"/>
    <x v="2"/>
    <n v="425985"/>
  </r>
  <r>
    <x v="217"/>
    <x v="0"/>
    <x v="1"/>
    <x v="3"/>
    <n v="16600"/>
  </r>
  <r>
    <x v="217"/>
    <x v="0"/>
    <x v="1"/>
    <x v="4"/>
    <n v="63750"/>
  </r>
  <r>
    <x v="217"/>
    <x v="0"/>
    <x v="1"/>
    <x v="6"/>
    <n v="1500"/>
  </r>
  <r>
    <x v="217"/>
    <x v="0"/>
    <x v="2"/>
    <x v="0"/>
    <n v="1438574"/>
  </r>
  <r>
    <x v="217"/>
    <x v="0"/>
    <x v="2"/>
    <x v="1"/>
    <n v="887348"/>
  </r>
  <r>
    <x v="217"/>
    <x v="0"/>
    <x v="2"/>
    <x v="2"/>
    <n v="1054635"/>
  </r>
  <r>
    <x v="217"/>
    <x v="0"/>
    <x v="2"/>
    <x v="3"/>
    <n v="21500"/>
  </r>
  <r>
    <x v="217"/>
    <x v="0"/>
    <x v="2"/>
    <x v="4"/>
    <n v="100000"/>
  </r>
  <r>
    <x v="217"/>
    <x v="0"/>
    <x v="2"/>
    <x v="6"/>
    <n v="2300"/>
  </r>
  <r>
    <x v="217"/>
    <x v="0"/>
    <x v="5"/>
    <x v="4"/>
    <n v="90000"/>
  </r>
  <r>
    <x v="217"/>
    <x v="0"/>
    <x v="3"/>
    <x v="0"/>
    <n v="101103"/>
  </r>
  <r>
    <x v="217"/>
    <x v="0"/>
    <x v="3"/>
    <x v="2"/>
    <n v="28171"/>
  </r>
  <r>
    <x v="217"/>
    <x v="0"/>
    <x v="3"/>
    <x v="4"/>
    <n v="9500"/>
  </r>
  <r>
    <x v="217"/>
    <x v="0"/>
    <x v="3"/>
    <x v="6"/>
    <n v="850"/>
  </r>
  <r>
    <x v="217"/>
    <x v="0"/>
    <x v="6"/>
    <x v="3"/>
    <n v="5500"/>
  </r>
  <r>
    <x v="217"/>
    <x v="0"/>
    <x v="8"/>
    <x v="3"/>
    <n v="6000"/>
  </r>
  <r>
    <x v="217"/>
    <x v="0"/>
    <x v="8"/>
    <x v="4"/>
    <n v="2700"/>
  </r>
  <r>
    <x v="217"/>
    <x v="0"/>
    <x v="4"/>
    <x v="0"/>
    <n v="47362"/>
  </r>
  <r>
    <x v="217"/>
    <x v="0"/>
    <x v="4"/>
    <x v="2"/>
    <n v="10823"/>
  </r>
  <r>
    <x v="217"/>
    <x v="1"/>
    <x v="2"/>
    <x v="1"/>
    <n v="24926"/>
  </r>
  <r>
    <x v="217"/>
    <x v="1"/>
    <x v="2"/>
    <x v="2"/>
    <n v="17629"/>
  </r>
  <r>
    <x v="217"/>
    <x v="2"/>
    <x v="2"/>
    <x v="0"/>
    <n v="632300"/>
  </r>
  <r>
    <x v="217"/>
    <x v="2"/>
    <x v="2"/>
    <x v="1"/>
    <n v="24926"/>
  </r>
  <r>
    <x v="217"/>
    <x v="2"/>
    <x v="2"/>
    <x v="2"/>
    <n v="276416"/>
  </r>
  <r>
    <x v="218"/>
    <x v="0"/>
    <x v="1"/>
    <x v="4"/>
    <n v="56000"/>
  </r>
  <r>
    <x v="218"/>
    <x v="0"/>
    <x v="2"/>
    <x v="0"/>
    <n v="113216"/>
  </r>
  <r>
    <x v="218"/>
    <x v="0"/>
    <x v="2"/>
    <x v="1"/>
    <n v="62231"/>
  </r>
  <r>
    <x v="218"/>
    <x v="0"/>
    <x v="2"/>
    <x v="2"/>
    <n v="91991"/>
  </r>
  <r>
    <x v="218"/>
    <x v="0"/>
    <x v="2"/>
    <x v="3"/>
    <n v="900"/>
  </r>
  <r>
    <x v="218"/>
    <x v="2"/>
    <x v="1"/>
    <x v="4"/>
    <n v="79057"/>
  </r>
  <r>
    <x v="219"/>
    <x v="0"/>
    <x v="0"/>
    <x v="0"/>
    <n v="56000"/>
  </r>
  <r>
    <x v="219"/>
    <x v="0"/>
    <x v="0"/>
    <x v="1"/>
    <n v="17192"/>
  </r>
  <r>
    <x v="219"/>
    <x v="0"/>
    <x v="0"/>
    <x v="2"/>
    <n v="28388"/>
  </r>
  <r>
    <x v="219"/>
    <x v="0"/>
    <x v="0"/>
    <x v="3"/>
    <n v="440"/>
  </r>
  <r>
    <x v="219"/>
    <x v="0"/>
    <x v="0"/>
    <x v="4"/>
    <n v="3533"/>
  </r>
  <r>
    <x v="219"/>
    <x v="0"/>
    <x v="7"/>
    <x v="1"/>
    <n v="10884"/>
  </r>
  <r>
    <x v="219"/>
    <x v="0"/>
    <x v="7"/>
    <x v="2"/>
    <n v="8316"/>
  </r>
  <r>
    <x v="219"/>
    <x v="0"/>
    <x v="1"/>
    <x v="0"/>
    <n v="423216"/>
  </r>
  <r>
    <x v="219"/>
    <x v="0"/>
    <x v="1"/>
    <x v="1"/>
    <n v="46345"/>
  </r>
  <r>
    <x v="219"/>
    <x v="0"/>
    <x v="1"/>
    <x v="2"/>
    <n v="190640"/>
  </r>
  <r>
    <x v="219"/>
    <x v="0"/>
    <x v="1"/>
    <x v="3"/>
    <n v="7708"/>
  </r>
  <r>
    <x v="219"/>
    <x v="0"/>
    <x v="1"/>
    <x v="4"/>
    <n v="11113"/>
  </r>
  <r>
    <x v="219"/>
    <x v="0"/>
    <x v="1"/>
    <x v="6"/>
    <n v="1061"/>
  </r>
  <r>
    <x v="219"/>
    <x v="0"/>
    <x v="2"/>
    <x v="0"/>
    <n v="702732"/>
  </r>
  <r>
    <x v="219"/>
    <x v="0"/>
    <x v="2"/>
    <x v="1"/>
    <n v="231909"/>
  </r>
  <r>
    <x v="219"/>
    <x v="0"/>
    <x v="2"/>
    <x v="2"/>
    <n v="466395"/>
  </r>
  <r>
    <x v="219"/>
    <x v="0"/>
    <x v="2"/>
    <x v="3"/>
    <n v="1794"/>
  </r>
  <r>
    <x v="219"/>
    <x v="0"/>
    <x v="2"/>
    <x v="4"/>
    <n v="1556"/>
  </r>
  <r>
    <x v="219"/>
    <x v="0"/>
    <x v="2"/>
    <x v="6"/>
    <n v="380"/>
  </r>
  <r>
    <x v="219"/>
    <x v="0"/>
    <x v="6"/>
    <x v="3"/>
    <n v="1709"/>
  </r>
  <r>
    <x v="219"/>
    <x v="0"/>
    <x v="8"/>
    <x v="3"/>
    <n v="739"/>
  </r>
  <r>
    <x v="219"/>
    <x v="0"/>
    <x v="8"/>
    <x v="4"/>
    <n v="1297"/>
  </r>
  <r>
    <x v="219"/>
    <x v="0"/>
    <x v="4"/>
    <x v="0"/>
    <n v="19237"/>
  </r>
  <r>
    <x v="219"/>
    <x v="0"/>
    <x v="4"/>
    <x v="2"/>
    <n v="4326"/>
  </r>
  <r>
    <x v="219"/>
    <x v="2"/>
    <x v="2"/>
    <x v="0"/>
    <n v="10843"/>
  </r>
  <r>
    <x v="219"/>
    <x v="2"/>
    <x v="2"/>
    <x v="1"/>
    <n v="208880"/>
  </r>
  <r>
    <x v="219"/>
    <x v="2"/>
    <x v="2"/>
    <x v="2"/>
    <n v="166963"/>
  </r>
  <r>
    <x v="219"/>
    <x v="2"/>
    <x v="2"/>
    <x v="4"/>
    <n v="101"/>
  </r>
  <r>
    <x v="220"/>
    <x v="0"/>
    <x v="0"/>
    <x v="0"/>
    <n v="189043"/>
  </r>
  <r>
    <x v="220"/>
    <x v="0"/>
    <x v="0"/>
    <x v="1"/>
    <n v="115918"/>
  </r>
  <r>
    <x v="220"/>
    <x v="0"/>
    <x v="0"/>
    <x v="2"/>
    <n v="98443"/>
  </r>
  <r>
    <x v="220"/>
    <x v="0"/>
    <x v="0"/>
    <x v="3"/>
    <n v="7500"/>
  </r>
  <r>
    <x v="220"/>
    <x v="0"/>
    <x v="0"/>
    <x v="4"/>
    <n v="15100"/>
  </r>
  <r>
    <x v="220"/>
    <x v="0"/>
    <x v="0"/>
    <x v="6"/>
    <n v="5270"/>
  </r>
  <r>
    <x v="220"/>
    <x v="0"/>
    <x v="1"/>
    <x v="0"/>
    <n v="747391"/>
  </r>
  <r>
    <x v="220"/>
    <x v="0"/>
    <x v="1"/>
    <x v="1"/>
    <n v="17585"/>
  </r>
  <r>
    <x v="220"/>
    <x v="0"/>
    <x v="1"/>
    <x v="2"/>
    <n v="276004"/>
  </r>
  <r>
    <x v="220"/>
    <x v="0"/>
    <x v="2"/>
    <x v="0"/>
    <n v="1436639"/>
  </r>
  <r>
    <x v="220"/>
    <x v="0"/>
    <x v="2"/>
    <x v="1"/>
    <n v="337839"/>
  </r>
  <r>
    <x v="220"/>
    <x v="0"/>
    <x v="2"/>
    <x v="2"/>
    <n v="731911"/>
  </r>
  <r>
    <x v="220"/>
    <x v="0"/>
    <x v="2"/>
    <x v="3"/>
    <n v="72300"/>
  </r>
  <r>
    <x v="220"/>
    <x v="0"/>
    <x v="2"/>
    <x v="4"/>
    <n v="914220"/>
  </r>
  <r>
    <x v="220"/>
    <x v="0"/>
    <x v="3"/>
    <x v="0"/>
    <n v="255972"/>
  </r>
  <r>
    <x v="220"/>
    <x v="0"/>
    <x v="3"/>
    <x v="2"/>
    <n v="56584"/>
  </r>
  <r>
    <x v="220"/>
    <x v="0"/>
    <x v="3"/>
    <x v="4"/>
    <n v="121535"/>
  </r>
  <r>
    <x v="220"/>
    <x v="0"/>
    <x v="4"/>
    <x v="0"/>
    <n v="31938"/>
  </r>
  <r>
    <x v="220"/>
    <x v="0"/>
    <x v="4"/>
    <x v="2"/>
    <n v="7070"/>
  </r>
  <r>
    <x v="220"/>
    <x v="2"/>
    <x v="2"/>
    <x v="0"/>
    <n v="120423"/>
  </r>
  <r>
    <x v="220"/>
    <x v="2"/>
    <x v="2"/>
    <x v="1"/>
    <n v="291222"/>
  </r>
  <r>
    <x v="220"/>
    <x v="2"/>
    <x v="2"/>
    <x v="2"/>
    <n v="236715"/>
  </r>
  <r>
    <x v="220"/>
    <x v="2"/>
    <x v="3"/>
    <x v="0"/>
    <n v="12469"/>
  </r>
  <r>
    <x v="220"/>
    <x v="2"/>
    <x v="3"/>
    <x v="2"/>
    <n v="2335"/>
  </r>
  <r>
    <x v="221"/>
    <x v="0"/>
    <x v="0"/>
    <x v="0"/>
    <n v="100887"/>
  </r>
  <r>
    <x v="221"/>
    <x v="0"/>
    <x v="0"/>
    <x v="1"/>
    <n v="35298"/>
  </r>
  <r>
    <x v="221"/>
    <x v="0"/>
    <x v="0"/>
    <x v="2"/>
    <n v="44444"/>
  </r>
  <r>
    <x v="221"/>
    <x v="0"/>
    <x v="0"/>
    <x v="3"/>
    <n v="300"/>
  </r>
  <r>
    <x v="221"/>
    <x v="0"/>
    <x v="0"/>
    <x v="4"/>
    <n v="100"/>
  </r>
  <r>
    <x v="221"/>
    <x v="0"/>
    <x v="7"/>
    <x v="4"/>
    <n v="110000"/>
  </r>
  <r>
    <x v="221"/>
    <x v="0"/>
    <x v="1"/>
    <x v="0"/>
    <n v="260433"/>
  </r>
  <r>
    <x v="221"/>
    <x v="0"/>
    <x v="1"/>
    <x v="1"/>
    <n v="37016"/>
  </r>
  <r>
    <x v="221"/>
    <x v="0"/>
    <x v="1"/>
    <x v="2"/>
    <n v="116022"/>
  </r>
  <r>
    <x v="221"/>
    <x v="0"/>
    <x v="1"/>
    <x v="3"/>
    <n v="14000"/>
  </r>
  <r>
    <x v="221"/>
    <x v="0"/>
    <x v="1"/>
    <x v="4"/>
    <n v="1493756"/>
  </r>
  <r>
    <x v="221"/>
    <x v="0"/>
    <x v="2"/>
    <x v="0"/>
    <n v="946946"/>
  </r>
  <r>
    <x v="221"/>
    <x v="0"/>
    <x v="2"/>
    <x v="1"/>
    <n v="1055928"/>
  </r>
  <r>
    <x v="221"/>
    <x v="0"/>
    <x v="2"/>
    <x v="2"/>
    <n v="977809"/>
  </r>
  <r>
    <x v="221"/>
    <x v="0"/>
    <x v="2"/>
    <x v="3"/>
    <n v="10950"/>
  </r>
  <r>
    <x v="221"/>
    <x v="0"/>
    <x v="2"/>
    <x v="4"/>
    <n v="9000"/>
  </r>
  <r>
    <x v="221"/>
    <x v="0"/>
    <x v="2"/>
    <x v="6"/>
    <n v="12500"/>
  </r>
  <r>
    <x v="221"/>
    <x v="0"/>
    <x v="3"/>
    <x v="3"/>
    <n v="200"/>
  </r>
  <r>
    <x v="221"/>
    <x v="0"/>
    <x v="3"/>
    <x v="4"/>
    <n v="2000"/>
  </r>
  <r>
    <x v="221"/>
    <x v="0"/>
    <x v="3"/>
    <x v="6"/>
    <n v="1000"/>
  </r>
  <r>
    <x v="221"/>
    <x v="2"/>
    <x v="2"/>
    <x v="0"/>
    <n v="370494"/>
  </r>
  <r>
    <x v="221"/>
    <x v="2"/>
    <x v="2"/>
    <x v="2"/>
    <n v="131896"/>
  </r>
  <r>
    <x v="222"/>
    <x v="0"/>
    <x v="5"/>
    <x v="4"/>
    <n v="46854"/>
  </r>
  <r>
    <x v="223"/>
    <x v="0"/>
    <x v="0"/>
    <x v="0"/>
    <n v="15885"/>
  </r>
  <r>
    <x v="223"/>
    <x v="0"/>
    <x v="0"/>
    <x v="2"/>
    <n v="6124"/>
  </r>
  <r>
    <x v="223"/>
    <x v="0"/>
    <x v="1"/>
    <x v="4"/>
    <n v="27136"/>
  </r>
  <r>
    <x v="223"/>
    <x v="0"/>
    <x v="2"/>
    <x v="0"/>
    <n v="65875"/>
  </r>
  <r>
    <x v="223"/>
    <x v="0"/>
    <x v="2"/>
    <x v="1"/>
    <n v="65992"/>
  </r>
  <r>
    <x v="223"/>
    <x v="0"/>
    <x v="2"/>
    <x v="2"/>
    <n v="83223"/>
  </r>
  <r>
    <x v="223"/>
    <x v="0"/>
    <x v="2"/>
    <x v="3"/>
    <n v="1650"/>
  </r>
  <r>
    <x v="223"/>
    <x v="0"/>
    <x v="2"/>
    <x v="4"/>
    <n v="13000"/>
  </r>
  <r>
    <x v="223"/>
    <x v="0"/>
    <x v="2"/>
    <x v="6"/>
    <n v="200"/>
  </r>
  <r>
    <x v="223"/>
    <x v="2"/>
    <x v="1"/>
    <x v="4"/>
    <n v="48400"/>
  </r>
  <r>
    <x v="224"/>
    <x v="0"/>
    <x v="0"/>
    <x v="0"/>
    <n v="127097"/>
  </r>
  <r>
    <x v="224"/>
    <x v="0"/>
    <x v="0"/>
    <x v="2"/>
    <n v="40899"/>
  </r>
  <r>
    <x v="224"/>
    <x v="0"/>
    <x v="1"/>
    <x v="0"/>
    <n v="181162"/>
  </r>
  <r>
    <x v="224"/>
    <x v="0"/>
    <x v="1"/>
    <x v="2"/>
    <n v="67208"/>
  </r>
  <r>
    <x v="224"/>
    <x v="0"/>
    <x v="1"/>
    <x v="4"/>
    <n v="264696"/>
  </r>
  <r>
    <x v="224"/>
    <x v="0"/>
    <x v="1"/>
    <x v="6"/>
    <n v="1000"/>
  </r>
  <r>
    <x v="224"/>
    <x v="0"/>
    <x v="2"/>
    <x v="0"/>
    <n v="616767"/>
  </r>
  <r>
    <x v="224"/>
    <x v="0"/>
    <x v="2"/>
    <x v="1"/>
    <n v="389662"/>
  </r>
  <r>
    <x v="224"/>
    <x v="0"/>
    <x v="2"/>
    <x v="2"/>
    <n v="471880"/>
  </r>
  <r>
    <x v="224"/>
    <x v="0"/>
    <x v="2"/>
    <x v="3"/>
    <n v="99500"/>
  </r>
  <r>
    <x v="224"/>
    <x v="0"/>
    <x v="2"/>
    <x v="4"/>
    <n v="29636"/>
  </r>
  <r>
    <x v="224"/>
    <x v="0"/>
    <x v="2"/>
    <x v="6"/>
    <n v="1000"/>
  </r>
  <r>
    <x v="224"/>
    <x v="0"/>
    <x v="3"/>
    <x v="4"/>
    <n v="5500"/>
  </r>
  <r>
    <x v="224"/>
    <x v="0"/>
    <x v="3"/>
    <x v="6"/>
    <n v="1500"/>
  </r>
  <r>
    <x v="224"/>
    <x v="2"/>
    <x v="2"/>
    <x v="0"/>
    <n v="32100"/>
  </r>
  <r>
    <x v="224"/>
    <x v="2"/>
    <x v="2"/>
    <x v="1"/>
    <n v="132289"/>
  </r>
  <r>
    <x v="224"/>
    <x v="2"/>
    <x v="2"/>
    <x v="2"/>
    <n v="106025"/>
  </r>
  <r>
    <x v="224"/>
    <x v="2"/>
    <x v="2"/>
    <x v="3"/>
    <n v="5694"/>
  </r>
  <r>
    <x v="225"/>
    <x v="0"/>
    <x v="0"/>
    <x v="0"/>
    <n v="153376"/>
  </r>
  <r>
    <x v="225"/>
    <x v="0"/>
    <x v="0"/>
    <x v="1"/>
    <n v="2654"/>
  </r>
  <r>
    <x v="225"/>
    <x v="0"/>
    <x v="0"/>
    <x v="2"/>
    <n v="48047"/>
  </r>
  <r>
    <x v="225"/>
    <x v="0"/>
    <x v="0"/>
    <x v="3"/>
    <n v="500"/>
  </r>
  <r>
    <x v="225"/>
    <x v="0"/>
    <x v="1"/>
    <x v="0"/>
    <n v="280830"/>
  </r>
  <r>
    <x v="225"/>
    <x v="0"/>
    <x v="1"/>
    <x v="2"/>
    <n v="100801"/>
  </r>
  <r>
    <x v="225"/>
    <x v="0"/>
    <x v="1"/>
    <x v="4"/>
    <n v="67360"/>
  </r>
  <r>
    <x v="225"/>
    <x v="0"/>
    <x v="2"/>
    <x v="0"/>
    <n v="353135"/>
  </r>
  <r>
    <x v="225"/>
    <x v="0"/>
    <x v="2"/>
    <x v="1"/>
    <n v="609984"/>
  </r>
  <r>
    <x v="225"/>
    <x v="0"/>
    <x v="2"/>
    <x v="2"/>
    <n v="510232"/>
  </r>
  <r>
    <x v="225"/>
    <x v="0"/>
    <x v="2"/>
    <x v="3"/>
    <n v="5000"/>
  </r>
  <r>
    <x v="225"/>
    <x v="0"/>
    <x v="2"/>
    <x v="4"/>
    <n v="15100"/>
  </r>
  <r>
    <x v="225"/>
    <x v="0"/>
    <x v="3"/>
    <x v="0"/>
    <n v="4051"/>
  </r>
  <r>
    <x v="225"/>
    <x v="0"/>
    <x v="3"/>
    <x v="2"/>
    <n v="924"/>
  </r>
  <r>
    <x v="225"/>
    <x v="0"/>
    <x v="3"/>
    <x v="3"/>
    <n v="1500"/>
  </r>
  <r>
    <x v="225"/>
    <x v="0"/>
    <x v="3"/>
    <x v="6"/>
    <n v="1400"/>
  </r>
  <r>
    <x v="225"/>
    <x v="0"/>
    <x v="4"/>
    <x v="0"/>
    <n v="12157"/>
  </r>
  <r>
    <x v="225"/>
    <x v="0"/>
    <x v="4"/>
    <x v="2"/>
    <n v="2773"/>
  </r>
  <r>
    <x v="225"/>
    <x v="2"/>
    <x v="2"/>
    <x v="0"/>
    <n v="107362"/>
  </r>
  <r>
    <x v="225"/>
    <x v="2"/>
    <x v="2"/>
    <x v="2"/>
    <n v="43039"/>
  </r>
  <r>
    <x v="225"/>
    <x v="2"/>
    <x v="2"/>
    <x v="3"/>
    <n v="28718"/>
  </r>
  <r>
    <x v="226"/>
    <x v="0"/>
    <x v="1"/>
    <x v="3"/>
    <n v="1300"/>
  </r>
  <r>
    <x v="226"/>
    <x v="0"/>
    <x v="1"/>
    <x v="4"/>
    <n v="24000"/>
  </r>
  <r>
    <x v="226"/>
    <x v="0"/>
    <x v="1"/>
    <x v="6"/>
    <n v="1499"/>
  </r>
  <r>
    <x v="226"/>
    <x v="0"/>
    <x v="2"/>
    <x v="0"/>
    <n v="85412"/>
  </r>
  <r>
    <x v="226"/>
    <x v="0"/>
    <x v="2"/>
    <x v="1"/>
    <n v="8641"/>
  </r>
  <r>
    <x v="226"/>
    <x v="0"/>
    <x v="2"/>
    <x v="2"/>
    <n v="12034"/>
  </r>
  <r>
    <x v="226"/>
    <x v="0"/>
    <x v="2"/>
    <x v="3"/>
    <n v="750"/>
  </r>
  <r>
    <x v="226"/>
    <x v="0"/>
    <x v="2"/>
    <x v="4"/>
    <n v="750"/>
  </r>
  <r>
    <x v="226"/>
    <x v="0"/>
    <x v="2"/>
    <x v="6"/>
    <n v="100"/>
  </r>
  <r>
    <x v="226"/>
    <x v="0"/>
    <x v="3"/>
    <x v="4"/>
    <n v="500"/>
  </r>
  <r>
    <x v="226"/>
    <x v="0"/>
    <x v="4"/>
    <x v="0"/>
    <n v="556"/>
  </r>
  <r>
    <x v="226"/>
    <x v="0"/>
    <x v="4"/>
    <x v="2"/>
    <n v="45"/>
  </r>
  <r>
    <x v="226"/>
    <x v="2"/>
    <x v="1"/>
    <x v="4"/>
    <n v="806"/>
  </r>
  <r>
    <x v="226"/>
    <x v="2"/>
    <x v="2"/>
    <x v="1"/>
    <n v="8641"/>
  </r>
  <r>
    <x v="226"/>
    <x v="2"/>
    <x v="2"/>
    <x v="2"/>
    <n v="5105"/>
  </r>
  <r>
    <x v="227"/>
    <x v="0"/>
    <x v="0"/>
    <x v="5"/>
    <n v="23200"/>
  </r>
  <r>
    <x v="227"/>
    <x v="0"/>
    <x v="0"/>
    <x v="0"/>
    <n v="1336400"/>
  </r>
  <r>
    <x v="227"/>
    <x v="0"/>
    <x v="0"/>
    <x v="1"/>
    <n v="1225475"/>
  </r>
  <r>
    <x v="227"/>
    <x v="0"/>
    <x v="0"/>
    <x v="2"/>
    <n v="884765"/>
  </r>
  <r>
    <x v="227"/>
    <x v="0"/>
    <x v="0"/>
    <x v="3"/>
    <n v="21000"/>
  </r>
  <r>
    <x v="227"/>
    <x v="0"/>
    <x v="0"/>
    <x v="4"/>
    <n v="71944"/>
  </r>
  <r>
    <x v="227"/>
    <x v="0"/>
    <x v="0"/>
    <x v="6"/>
    <n v="500"/>
  </r>
  <r>
    <x v="227"/>
    <x v="0"/>
    <x v="9"/>
    <x v="0"/>
    <n v="215616"/>
  </r>
  <r>
    <x v="227"/>
    <x v="0"/>
    <x v="9"/>
    <x v="2"/>
    <n v="79922"/>
  </r>
  <r>
    <x v="227"/>
    <x v="0"/>
    <x v="7"/>
    <x v="1"/>
    <n v="171512"/>
  </r>
  <r>
    <x v="227"/>
    <x v="0"/>
    <x v="7"/>
    <x v="2"/>
    <n v="29408"/>
  </r>
  <r>
    <x v="227"/>
    <x v="0"/>
    <x v="1"/>
    <x v="0"/>
    <n v="24150313"/>
  </r>
  <r>
    <x v="227"/>
    <x v="0"/>
    <x v="1"/>
    <x v="1"/>
    <n v="1117058"/>
  </r>
  <r>
    <x v="227"/>
    <x v="0"/>
    <x v="1"/>
    <x v="2"/>
    <n v="9213587"/>
  </r>
  <r>
    <x v="227"/>
    <x v="0"/>
    <x v="1"/>
    <x v="3"/>
    <n v="241245"/>
  </r>
  <r>
    <x v="227"/>
    <x v="0"/>
    <x v="1"/>
    <x v="4"/>
    <n v="553565"/>
  </r>
  <r>
    <x v="227"/>
    <x v="0"/>
    <x v="1"/>
    <x v="6"/>
    <n v="18700"/>
  </r>
  <r>
    <x v="227"/>
    <x v="0"/>
    <x v="2"/>
    <x v="5"/>
    <n v="201198"/>
  </r>
  <r>
    <x v="227"/>
    <x v="0"/>
    <x v="2"/>
    <x v="0"/>
    <n v="56687315"/>
  </r>
  <r>
    <x v="227"/>
    <x v="0"/>
    <x v="2"/>
    <x v="1"/>
    <n v="43821696"/>
  </r>
  <r>
    <x v="227"/>
    <x v="0"/>
    <x v="2"/>
    <x v="2"/>
    <n v="40872072"/>
  </r>
  <r>
    <x v="227"/>
    <x v="0"/>
    <x v="2"/>
    <x v="3"/>
    <n v="512519"/>
  </r>
  <r>
    <x v="227"/>
    <x v="0"/>
    <x v="2"/>
    <x v="4"/>
    <n v="8805124"/>
  </r>
  <r>
    <x v="227"/>
    <x v="0"/>
    <x v="2"/>
    <x v="6"/>
    <n v="9234"/>
  </r>
  <r>
    <x v="227"/>
    <x v="0"/>
    <x v="3"/>
    <x v="0"/>
    <n v="343479"/>
  </r>
  <r>
    <x v="227"/>
    <x v="0"/>
    <x v="3"/>
    <x v="1"/>
    <n v="15000"/>
  </r>
  <r>
    <x v="227"/>
    <x v="0"/>
    <x v="3"/>
    <x v="2"/>
    <n v="118697"/>
  </r>
  <r>
    <x v="227"/>
    <x v="0"/>
    <x v="3"/>
    <x v="3"/>
    <n v="4758"/>
  </r>
  <r>
    <x v="227"/>
    <x v="0"/>
    <x v="3"/>
    <x v="4"/>
    <n v="281323"/>
  </r>
  <r>
    <x v="227"/>
    <x v="0"/>
    <x v="8"/>
    <x v="3"/>
    <n v="153438"/>
  </r>
  <r>
    <x v="227"/>
    <x v="2"/>
    <x v="0"/>
    <x v="0"/>
    <n v="1626603"/>
  </r>
  <r>
    <x v="227"/>
    <x v="2"/>
    <x v="0"/>
    <x v="1"/>
    <n v="104242"/>
  </r>
  <r>
    <x v="227"/>
    <x v="2"/>
    <x v="0"/>
    <x v="2"/>
    <n v="512135"/>
  </r>
  <r>
    <x v="227"/>
    <x v="2"/>
    <x v="1"/>
    <x v="0"/>
    <n v="702248"/>
  </r>
  <r>
    <x v="227"/>
    <x v="2"/>
    <x v="1"/>
    <x v="1"/>
    <n v="63218"/>
  </r>
  <r>
    <x v="227"/>
    <x v="2"/>
    <x v="1"/>
    <x v="2"/>
    <n v="313710"/>
  </r>
  <r>
    <x v="227"/>
    <x v="2"/>
    <x v="1"/>
    <x v="3"/>
    <n v="155000"/>
  </r>
  <r>
    <x v="227"/>
    <x v="2"/>
    <x v="1"/>
    <x v="6"/>
    <n v="3400"/>
  </r>
  <r>
    <x v="227"/>
    <x v="2"/>
    <x v="2"/>
    <x v="0"/>
    <n v="1627351"/>
  </r>
  <r>
    <x v="227"/>
    <x v="2"/>
    <x v="2"/>
    <x v="1"/>
    <n v="2218429"/>
  </r>
  <r>
    <x v="227"/>
    <x v="2"/>
    <x v="2"/>
    <x v="2"/>
    <n v="1574842"/>
  </r>
  <r>
    <x v="227"/>
    <x v="2"/>
    <x v="2"/>
    <x v="3"/>
    <n v="15800"/>
  </r>
  <r>
    <x v="227"/>
    <x v="2"/>
    <x v="2"/>
    <x v="4"/>
    <n v="1272699"/>
  </r>
  <r>
    <x v="227"/>
    <x v="2"/>
    <x v="2"/>
    <x v="6"/>
    <n v="4716"/>
  </r>
  <r>
    <x v="227"/>
    <x v="2"/>
    <x v="3"/>
    <x v="0"/>
    <n v="1438260"/>
  </r>
  <r>
    <x v="227"/>
    <x v="2"/>
    <x v="3"/>
    <x v="2"/>
    <n v="516513"/>
  </r>
  <r>
    <x v="227"/>
    <x v="2"/>
    <x v="3"/>
    <x v="4"/>
    <n v="521573"/>
  </r>
  <r>
    <x v="227"/>
    <x v="2"/>
    <x v="3"/>
    <x v="6"/>
    <n v="8500"/>
  </r>
  <r>
    <x v="228"/>
    <x v="0"/>
    <x v="0"/>
    <x v="0"/>
    <n v="279257"/>
  </r>
  <r>
    <x v="228"/>
    <x v="0"/>
    <x v="0"/>
    <x v="1"/>
    <n v="320858"/>
  </r>
  <r>
    <x v="228"/>
    <x v="0"/>
    <x v="0"/>
    <x v="2"/>
    <n v="222049"/>
  </r>
  <r>
    <x v="228"/>
    <x v="0"/>
    <x v="0"/>
    <x v="3"/>
    <n v="7000"/>
  </r>
  <r>
    <x v="228"/>
    <x v="0"/>
    <x v="0"/>
    <x v="6"/>
    <n v="500"/>
  </r>
  <r>
    <x v="228"/>
    <x v="0"/>
    <x v="12"/>
    <x v="4"/>
    <n v="3200"/>
  </r>
  <r>
    <x v="228"/>
    <x v="0"/>
    <x v="7"/>
    <x v="1"/>
    <n v="206885"/>
  </r>
  <r>
    <x v="228"/>
    <x v="0"/>
    <x v="7"/>
    <x v="2"/>
    <n v="136746"/>
  </r>
  <r>
    <x v="228"/>
    <x v="0"/>
    <x v="1"/>
    <x v="0"/>
    <n v="2029095"/>
  </r>
  <r>
    <x v="228"/>
    <x v="0"/>
    <x v="1"/>
    <x v="1"/>
    <n v="202671"/>
  </r>
  <r>
    <x v="228"/>
    <x v="0"/>
    <x v="1"/>
    <x v="2"/>
    <n v="805781"/>
  </r>
  <r>
    <x v="228"/>
    <x v="0"/>
    <x v="1"/>
    <x v="3"/>
    <n v="24000"/>
  </r>
  <r>
    <x v="228"/>
    <x v="0"/>
    <x v="1"/>
    <x v="4"/>
    <n v="17700"/>
  </r>
  <r>
    <x v="228"/>
    <x v="0"/>
    <x v="1"/>
    <x v="6"/>
    <n v="9400"/>
  </r>
  <r>
    <x v="228"/>
    <x v="0"/>
    <x v="2"/>
    <x v="0"/>
    <n v="2542869"/>
  </r>
  <r>
    <x v="228"/>
    <x v="0"/>
    <x v="2"/>
    <x v="1"/>
    <n v="2614360"/>
  </r>
  <r>
    <x v="228"/>
    <x v="0"/>
    <x v="2"/>
    <x v="2"/>
    <n v="2402997"/>
  </r>
  <r>
    <x v="228"/>
    <x v="0"/>
    <x v="2"/>
    <x v="3"/>
    <n v="21000"/>
  </r>
  <r>
    <x v="228"/>
    <x v="0"/>
    <x v="2"/>
    <x v="4"/>
    <n v="292500"/>
  </r>
  <r>
    <x v="228"/>
    <x v="0"/>
    <x v="2"/>
    <x v="6"/>
    <n v="3000"/>
  </r>
  <r>
    <x v="228"/>
    <x v="0"/>
    <x v="5"/>
    <x v="4"/>
    <n v="253545"/>
  </r>
  <r>
    <x v="228"/>
    <x v="0"/>
    <x v="3"/>
    <x v="0"/>
    <n v="75183"/>
  </r>
  <r>
    <x v="228"/>
    <x v="0"/>
    <x v="3"/>
    <x v="2"/>
    <n v="17105"/>
  </r>
  <r>
    <x v="228"/>
    <x v="0"/>
    <x v="4"/>
    <x v="0"/>
    <n v="72184"/>
  </r>
  <r>
    <x v="228"/>
    <x v="0"/>
    <x v="4"/>
    <x v="2"/>
    <n v="16574"/>
  </r>
  <r>
    <x v="228"/>
    <x v="1"/>
    <x v="2"/>
    <x v="1"/>
    <n v="21615"/>
  </r>
  <r>
    <x v="228"/>
    <x v="1"/>
    <x v="2"/>
    <x v="2"/>
    <n v="14958"/>
  </r>
  <r>
    <x v="228"/>
    <x v="2"/>
    <x v="9"/>
    <x v="0"/>
    <n v="18293"/>
  </r>
  <r>
    <x v="228"/>
    <x v="2"/>
    <x v="9"/>
    <x v="1"/>
    <n v="61796"/>
  </r>
  <r>
    <x v="228"/>
    <x v="2"/>
    <x v="9"/>
    <x v="2"/>
    <n v="29067"/>
  </r>
  <r>
    <x v="228"/>
    <x v="2"/>
    <x v="1"/>
    <x v="3"/>
    <n v="18100"/>
  </r>
  <r>
    <x v="228"/>
    <x v="2"/>
    <x v="2"/>
    <x v="0"/>
    <n v="583515"/>
  </r>
  <r>
    <x v="228"/>
    <x v="2"/>
    <x v="2"/>
    <x v="2"/>
    <n v="214269"/>
  </r>
  <r>
    <x v="228"/>
    <x v="2"/>
    <x v="2"/>
    <x v="3"/>
    <n v="8500"/>
  </r>
  <r>
    <x v="228"/>
    <x v="2"/>
    <x v="2"/>
    <x v="4"/>
    <n v="763657"/>
  </r>
  <r>
    <x v="229"/>
    <x v="0"/>
    <x v="0"/>
    <x v="0"/>
    <n v="171867"/>
  </r>
  <r>
    <x v="229"/>
    <x v="0"/>
    <x v="0"/>
    <x v="1"/>
    <n v="82155"/>
  </r>
  <r>
    <x v="229"/>
    <x v="0"/>
    <x v="0"/>
    <x v="2"/>
    <n v="95897"/>
  </r>
  <r>
    <x v="229"/>
    <x v="0"/>
    <x v="0"/>
    <x v="3"/>
    <n v="2000"/>
  </r>
  <r>
    <x v="229"/>
    <x v="0"/>
    <x v="0"/>
    <x v="6"/>
    <n v="3000"/>
  </r>
  <r>
    <x v="229"/>
    <x v="0"/>
    <x v="1"/>
    <x v="0"/>
    <n v="738204"/>
  </r>
  <r>
    <x v="229"/>
    <x v="0"/>
    <x v="1"/>
    <x v="1"/>
    <n v="114537"/>
  </r>
  <r>
    <x v="229"/>
    <x v="0"/>
    <x v="1"/>
    <x v="2"/>
    <n v="355055"/>
  </r>
  <r>
    <x v="229"/>
    <x v="0"/>
    <x v="1"/>
    <x v="3"/>
    <n v="16000"/>
  </r>
  <r>
    <x v="229"/>
    <x v="0"/>
    <x v="1"/>
    <x v="4"/>
    <n v="120000"/>
  </r>
  <r>
    <x v="229"/>
    <x v="0"/>
    <x v="2"/>
    <x v="0"/>
    <n v="1727435"/>
  </r>
  <r>
    <x v="229"/>
    <x v="0"/>
    <x v="2"/>
    <x v="1"/>
    <n v="696868"/>
  </r>
  <r>
    <x v="229"/>
    <x v="0"/>
    <x v="2"/>
    <x v="2"/>
    <n v="1150088"/>
  </r>
  <r>
    <x v="229"/>
    <x v="0"/>
    <x v="2"/>
    <x v="3"/>
    <n v="26500"/>
  </r>
  <r>
    <x v="229"/>
    <x v="0"/>
    <x v="2"/>
    <x v="4"/>
    <n v="94200"/>
  </r>
  <r>
    <x v="229"/>
    <x v="0"/>
    <x v="2"/>
    <x v="6"/>
    <n v="500"/>
  </r>
  <r>
    <x v="229"/>
    <x v="0"/>
    <x v="3"/>
    <x v="4"/>
    <n v="6000"/>
  </r>
  <r>
    <x v="229"/>
    <x v="0"/>
    <x v="3"/>
    <x v="6"/>
    <n v="1500"/>
  </r>
  <r>
    <x v="229"/>
    <x v="1"/>
    <x v="2"/>
    <x v="1"/>
    <n v="57774"/>
  </r>
  <r>
    <x v="229"/>
    <x v="1"/>
    <x v="2"/>
    <x v="2"/>
    <n v="43642"/>
  </r>
  <r>
    <x v="229"/>
    <x v="2"/>
    <x v="1"/>
    <x v="1"/>
    <n v="90824"/>
  </r>
  <r>
    <x v="229"/>
    <x v="2"/>
    <x v="1"/>
    <x v="2"/>
    <n v="49849"/>
  </r>
  <r>
    <x v="229"/>
    <x v="2"/>
    <x v="2"/>
    <x v="1"/>
    <n v="383380"/>
  </r>
  <r>
    <x v="229"/>
    <x v="2"/>
    <x v="2"/>
    <x v="2"/>
    <n v="254720"/>
  </r>
  <r>
    <x v="230"/>
    <x v="0"/>
    <x v="0"/>
    <x v="0"/>
    <n v="28862"/>
  </r>
  <r>
    <x v="230"/>
    <x v="0"/>
    <x v="0"/>
    <x v="2"/>
    <n v="9035"/>
  </r>
  <r>
    <x v="230"/>
    <x v="0"/>
    <x v="1"/>
    <x v="0"/>
    <n v="56048"/>
  </r>
  <r>
    <x v="230"/>
    <x v="0"/>
    <x v="1"/>
    <x v="2"/>
    <n v="24050"/>
  </r>
  <r>
    <x v="230"/>
    <x v="0"/>
    <x v="1"/>
    <x v="4"/>
    <n v="15200"/>
  </r>
  <r>
    <x v="230"/>
    <x v="0"/>
    <x v="1"/>
    <x v="6"/>
    <n v="250"/>
  </r>
  <r>
    <x v="230"/>
    <x v="0"/>
    <x v="2"/>
    <x v="0"/>
    <n v="99786"/>
  </r>
  <r>
    <x v="230"/>
    <x v="0"/>
    <x v="2"/>
    <x v="1"/>
    <n v="90128"/>
  </r>
  <r>
    <x v="230"/>
    <x v="0"/>
    <x v="2"/>
    <x v="2"/>
    <n v="110869"/>
  </r>
  <r>
    <x v="230"/>
    <x v="0"/>
    <x v="2"/>
    <x v="3"/>
    <n v="10000"/>
  </r>
  <r>
    <x v="230"/>
    <x v="0"/>
    <x v="4"/>
    <x v="4"/>
    <n v="2675"/>
  </r>
  <r>
    <x v="230"/>
    <x v="2"/>
    <x v="1"/>
    <x v="0"/>
    <n v="6228"/>
  </r>
  <r>
    <x v="230"/>
    <x v="2"/>
    <x v="1"/>
    <x v="2"/>
    <n v="2672"/>
  </r>
  <r>
    <x v="230"/>
    <x v="2"/>
    <x v="1"/>
    <x v="4"/>
    <n v="25500"/>
  </r>
  <r>
    <x v="230"/>
    <x v="2"/>
    <x v="2"/>
    <x v="0"/>
    <n v="7195"/>
  </r>
  <r>
    <x v="230"/>
    <x v="2"/>
    <x v="2"/>
    <x v="1"/>
    <n v="18288"/>
  </r>
  <r>
    <x v="230"/>
    <x v="2"/>
    <x v="2"/>
    <x v="2"/>
    <n v="16959"/>
  </r>
  <r>
    <x v="231"/>
    <x v="0"/>
    <x v="0"/>
    <x v="0"/>
    <n v="160605"/>
  </r>
  <r>
    <x v="231"/>
    <x v="0"/>
    <x v="0"/>
    <x v="1"/>
    <n v="98550"/>
  </r>
  <r>
    <x v="231"/>
    <x v="0"/>
    <x v="0"/>
    <x v="2"/>
    <n v="92309"/>
  </r>
  <r>
    <x v="231"/>
    <x v="0"/>
    <x v="0"/>
    <x v="3"/>
    <n v="1000"/>
  </r>
  <r>
    <x v="231"/>
    <x v="0"/>
    <x v="0"/>
    <x v="4"/>
    <n v="1000"/>
  </r>
  <r>
    <x v="231"/>
    <x v="0"/>
    <x v="7"/>
    <x v="1"/>
    <n v="89271"/>
  </r>
  <r>
    <x v="231"/>
    <x v="0"/>
    <x v="7"/>
    <x v="2"/>
    <n v="91029"/>
  </r>
  <r>
    <x v="231"/>
    <x v="0"/>
    <x v="1"/>
    <x v="0"/>
    <n v="405334"/>
  </r>
  <r>
    <x v="231"/>
    <x v="0"/>
    <x v="1"/>
    <x v="1"/>
    <n v="95751"/>
  </r>
  <r>
    <x v="231"/>
    <x v="0"/>
    <x v="1"/>
    <x v="2"/>
    <n v="201794"/>
  </r>
  <r>
    <x v="231"/>
    <x v="0"/>
    <x v="1"/>
    <x v="3"/>
    <n v="5000"/>
  </r>
  <r>
    <x v="231"/>
    <x v="0"/>
    <x v="1"/>
    <x v="4"/>
    <n v="390000"/>
  </r>
  <r>
    <x v="231"/>
    <x v="0"/>
    <x v="2"/>
    <x v="0"/>
    <n v="1771645"/>
  </r>
  <r>
    <x v="231"/>
    <x v="0"/>
    <x v="2"/>
    <x v="1"/>
    <n v="910078"/>
  </r>
  <r>
    <x v="231"/>
    <x v="0"/>
    <x v="2"/>
    <x v="2"/>
    <n v="1178438"/>
  </r>
  <r>
    <x v="231"/>
    <x v="0"/>
    <x v="2"/>
    <x v="3"/>
    <n v="21000"/>
  </r>
  <r>
    <x v="231"/>
    <x v="0"/>
    <x v="2"/>
    <x v="4"/>
    <n v="111000"/>
  </r>
  <r>
    <x v="231"/>
    <x v="0"/>
    <x v="3"/>
    <x v="0"/>
    <n v="9568"/>
  </r>
  <r>
    <x v="231"/>
    <x v="0"/>
    <x v="3"/>
    <x v="2"/>
    <n v="2199"/>
  </r>
  <r>
    <x v="231"/>
    <x v="0"/>
    <x v="4"/>
    <x v="0"/>
    <n v="34752"/>
  </r>
  <r>
    <x v="231"/>
    <x v="0"/>
    <x v="4"/>
    <x v="2"/>
    <n v="7947"/>
  </r>
  <r>
    <x v="231"/>
    <x v="2"/>
    <x v="1"/>
    <x v="0"/>
    <n v="180464"/>
  </r>
  <r>
    <x v="231"/>
    <x v="2"/>
    <x v="1"/>
    <x v="2"/>
    <n v="65859"/>
  </r>
  <r>
    <x v="231"/>
    <x v="2"/>
    <x v="2"/>
    <x v="0"/>
    <n v="115571"/>
  </r>
  <r>
    <x v="231"/>
    <x v="2"/>
    <x v="2"/>
    <x v="1"/>
    <n v="69651"/>
  </r>
  <r>
    <x v="231"/>
    <x v="2"/>
    <x v="2"/>
    <x v="2"/>
    <n v="77361"/>
  </r>
  <r>
    <x v="231"/>
    <x v="2"/>
    <x v="2"/>
    <x v="3"/>
    <n v="1455"/>
  </r>
  <r>
    <x v="231"/>
    <x v="2"/>
    <x v="3"/>
    <x v="0"/>
    <n v="5427"/>
  </r>
  <r>
    <x v="231"/>
    <x v="2"/>
    <x v="3"/>
    <x v="2"/>
    <n v="1243"/>
  </r>
  <r>
    <x v="232"/>
    <x v="0"/>
    <x v="0"/>
    <x v="5"/>
    <n v="125"/>
  </r>
  <r>
    <x v="232"/>
    <x v="0"/>
    <x v="0"/>
    <x v="0"/>
    <n v="135770"/>
  </r>
  <r>
    <x v="232"/>
    <x v="0"/>
    <x v="0"/>
    <x v="1"/>
    <n v="228484"/>
  </r>
  <r>
    <x v="232"/>
    <x v="0"/>
    <x v="0"/>
    <x v="2"/>
    <n v="148576"/>
  </r>
  <r>
    <x v="232"/>
    <x v="0"/>
    <x v="0"/>
    <x v="3"/>
    <n v="3000"/>
  </r>
  <r>
    <x v="232"/>
    <x v="0"/>
    <x v="0"/>
    <x v="4"/>
    <n v="8000"/>
  </r>
  <r>
    <x v="232"/>
    <x v="0"/>
    <x v="0"/>
    <x v="6"/>
    <n v="500"/>
  </r>
  <r>
    <x v="232"/>
    <x v="0"/>
    <x v="1"/>
    <x v="0"/>
    <n v="1132582"/>
  </r>
  <r>
    <x v="232"/>
    <x v="0"/>
    <x v="1"/>
    <x v="1"/>
    <n v="45716"/>
  </r>
  <r>
    <x v="232"/>
    <x v="0"/>
    <x v="1"/>
    <x v="2"/>
    <n v="409354"/>
  </r>
  <r>
    <x v="232"/>
    <x v="0"/>
    <x v="1"/>
    <x v="3"/>
    <n v="4500"/>
  </r>
  <r>
    <x v="232"/>
    <x v="0"/>
    <x v="1"/>
    <x v="6"/>
    <n v="1000"/>
  </r>
  <r>
    <x v="232"/>
    <x v="0"/>
    <x v="2"/>
    <x v="5"/>
    <n v="650"/>
  </r>
  <r>
    <x v="232"/>
    <x v="0"/>
    <x v="2"/>
    <x v="0"/>
    <n v="2744253"/>
  </r>
  <r>
    <x v="232"/>
    <x v="0"/>
    <x v="2"/>
    <x v="1"/>
    <n v="1515601"/>
  </r>
  <r>
    <x v="232"/>
    <x v="0"/>
    <x v="2"/>
    <x v="2"/>
    <n v="1985063"/>
  </r>
  <r>
    <x v="232"/>
    <x v="0"/>
    <x v="2"/>
    <x v="3"/>
    <n v="30000"/>
  </r>
  <r>
    <x v="232"/>
    <x v="0"/>
    <x v="2"/>
    <x v="4"/>
    <n v="295816"/>
  </r>
  <r>
    <x v="232"/>
    <x v="0"/>
    <x v="2"/>
    <x v="6"/>
    <n v="1500"/>
  </r>
  <r>
    <x v="232"/>
    <x v="0"/>
    <x v="3"/>
    <x v="0"/>
    <n v="5249"/>
  </r>
  <r>
    <x v="232"/>
    <x v="0"/>
    <x v="3"/>
    <x v="1"/>
    <n v="9066"/>
  </r>
  <r>
    <x v="232"/>
    <x v="0"/>
    <x v="3"/>
    <x v="3"/>
    <n v="500"/>
  </r>
  <r>
    <x v="232"/>
    <x v="0"/>
    <x v="3"/>
    <x v="4"/>
    <n v="2500"/>
  </r>
  <r>
    <x v="232"/>
    <x v="2"/>
    <x v="1"/>
    <x v="0"/>
    <n v="215591"/>
  </r>
  <r>
    <x v="232"/>
    <x v="2"/>
    <x v="1"/>
    <x v="2"/>
    <n v="73938"/>
  </r>
  <r>
    <x v="232"/>
    <x v="2"/>
    <x v="1"/>
    <x v="3"/>
    <n v="15000"/>
  </r>
  <r>
    <x v="232"/>
    <x v="2"/>
    <x v="1"/>
    <x v="6"/>
    <n v="7500"/>
  </r>
  <r>
    <x v="232"/>
    <x v="2"/>
    <x v="2"/>
    <x v="0"/>
    <n v="264698"/>
  </r>
  <r>
    <x v="232"/>
    <x v="2"/>
    <x v="2"/>
    <x v="1"/>
    <n v="173830"/>
  </r>
  <r>
    <x v="232"/>
    <x v="2"/>
    <x v="2"/>
    <x v="2"/>
    <n v="198121"/>
  </r>
  <r>
    <x v="232"/>
    <x v="2"/>
    <x v="2"/>
    <x v="3"/>
    <n v="21590"/>
  </r>
  <r>
    <x v="232"/>
    <x v="2"/>
    <x v="2"/>
    <x v="4"/>
    <n v="10000"/>
  </r>
  <r>
    <x v="232"/>
    <x v="2"/>
    <x v="2"/>
    <x v="6"/>
    <n v="3000"/>
  </r>
  <r>
    <x v="232"/>
    <x v="2"/>
    <x v="3"/>
    <x v="4"/>
    <n v="7000"/>
  </r>
  <r>
    <x v="232"/>
    <x v="2"/>
    <x v="3"/>
    <x v="6"/>
    <n v="2000"/>
  </r>
  <r>
    <x v="232"/>
    <x v="2"/>
    <x v="6"/>
    <x v="3"/>
    <n v="3500"/>
  </r>
  <r>
    <x v="233"/>
    <x v="0"/>
    <x v="0"/>
    <x v="0"/>
    <n v="186824"/>
  </r>
  <r>
    <x v="233"/>
    <x v="0"/>
    <x v="0"/>
    <x v="1"/>
    <n v="262602"/>
  </r>
  <r>
    <x v="233"/>
    <x v="0"/>
    <x v="0"/>
    <x v="2"/>
    <n v="152311"/>
  </r>
  <r>
    <x v="233"/>
    <x v="0"/>
    <x v="7"/>
    <x v="1"/>
    <n v="187640"/>
  </r>
  <r>
    <x v="233"/>
    <x v="0"/>
    <x v="7"/>
    <x v="2"/>
    <n v="145608"/>
  </r>
  <r>
    <x v="233"/>
    <x v="0"/>
    <x v="1"/>
    <x v="0"/>
    <n v="3878037"/>
  </r>
  <r>
    <x v="233"/>
    <x v="0"/>
    <x v="1"/>
    <x v="1"/>
    <n v="50101"/>
  </r>
  <r>
    <x v="233"/>
    <x v="0"/>
    <x v="1"/>
    <x v="2"/>
    <n v="1418941"/>
  </r>
  <r>
    <x v="233"/>
    <x v="0"/>
    <x v="1"/>
    <x v="3"/>
    <n v="70000"/>
  </r>
  <r>
    <x v="233"/>
    <x v="0"/>
    <x v="1"/>
    <x v="4"/>
    <n v="375000"/>
  </r>
  <r>
    <x v="233"/>
    <x v="0"/>
    <x v="2"/>
    <x v="5"/>
    <n v="38174"/>
  </r>
  <r>
    <x v="233"/>
    <x v="0"/>
    <x v="2"/>
    <x v="0"/>
    <n v="4963149"/>
  </r>
  <r>
    <x v="233"/>
    <x v="0"/>
    <x v="2"/>
    <x v="1"/>
    <n v="4825737"/>
  </r>
  <r>
    <x v="233"/>
    <x v="0"/>
    <x v="2"/>
    <x v="2"/>
    <n v="4218057"/>
  </r>
  <r>
    <x v="233"/>
    <x v="0"/>
    <x v="2"/>
    <x v="3"/>
    <n v="39078"/>
  </r>
  <r>
    <x v="233"/>
    <x v="0"/>
    <x v="2"/>
    <x v="4"/>
    <n v="1297000"/>
  </r>
  <r>
    <x v="233"/>
    <x v="0"/>
    <x v="2"/>
    <x v="6"/>
    <n v="4000"/>
  </r>
  <r>
    <x v="233"/>
    <x v="0"/>
    <x v="5"/>
    <x v="4"/>
    <n v="510000"/>
  </r>
  <r>
    <x v="233"/>
    <x v="0"/>
    <x v="3"/>
    <x v="0"/>
    <n v="772870"/>
  </r>
  <r>
    <x v="233"/>
    <x v="0"/>
    <x v="3"/>
    <x v="1"/>
    <n v="1000"/>
  </r>
  <r>
    <x v="233"/>
    <x v="0"/>
    <x v="3"/>
    <x v="2"/>
    <n v="233430"/>
  </r>
  <r>
    <x v="233"/>
    <x v="0"/>
    <x v="3"/>
    <x v="3"/>
    <n v="10000"/>
  </r>
  <r>
    <x v="233"/>
    <x v="0"/>
    <x v="3"/>
    <x v="4"/>
    <n v="10000"/>
  </r>
  <r>
    <x v="233"/>
    <x v="0"/>
    <x v="3"/>
    <x v="6"/>
    <n v="2000"/>
  </r>
  <r>
    <x v="233"/>
    <x v="2"/>
    <x v="1"/>
    <x v="4"/>
    <n v="81000"/>
  </r>
  <r>
    <x v="233"/>
    <x v="2"/>
    <x v="2"/>
    <x v="0"/>
    <n v="1126049"/>
  </r>
  <r>
    <x v="233"/>
    <x v="2"/>
    <x v="2"/>
    <x v="1"/>
    <n v="386906"/>
  </r>
  <r>
    <x v="233"/>
    <x v="2"/>
    <x v="2"/>
    <x v="2"/>
    <n v="552388"/>
  </r>
  <r>
    <x v="233"/>
    <x v="2"/>
    <x v="3"/>
    <x v="3"/>
    <n v="10000"/>
  </r>
  <r>
    <x v="233"/>
    <x v="2"/>
    <x v="3"/>
    <x v="4"/>
    <n v="57934"/>
  </r>
  <r>
    <x v="233"/>
    <x v="4"/>
    <x v="2"/>
    <x v="3"/>
    <n v="1"/>
  </r>
  <r>
    <x v="234"/>
    <x v="0"/>
    <x v="5"/>
    <x v="4"/>
    <n v="87738"/>
  </r>
  <r>
    <x v="235"/>
    <x v="0"/>
    <x v="1"/>
    <x v="4"/>
    <n v="11000"/>
  </r>
  <r>
    <x v="235"/>
    <x v="0"/>
    <x v="1"/>
    <x v="6"/>
    <n v="2374"/>
  </r>
  <r>
    <x v="235"/>
    <x v="0"/>
    <x v="2"/>
    <x v="0"/>
    <n v="124362"/>
  </r>
  <r>
    <x v="235"/>
    <x v="0"/>
    <x v="2"/>
    <x v="1"/>
    <n v="8089"/>
  </r>
  <r>
    <x v="235"/>
    <x v="0"/>
    <x v="2"/>
    <x v="2"/>
    <n v="49925"/>
  </r>
  <r>
    <x v="235"/>
    <x v="0"/>
    <x v="2"/>
    <x v="3"/>
    <n v="1000"/>
  </r>
  <r>
    <x v="235"/>
    <x v="0"/>
    <x v="2"/>
    <x v="4"/>
    <n v="2000"/>
  </r>
  <r>
    <x v="235"/>
    <x v="0"/>
    <x v="2"/>
    <x v="6"/>
    <n v="500"/>
  </r>
  <r>
    <x v="235"/>
    <x v="2"/>
    <x v="1"/>
    <x v="4"/>
    <n v="29000"/>
  </r>
  <r>
    <x v="236"/>
    <x v="0"/>
    <x v="0"/>
    <x v="0"/>
    <n v="930039"/>
  </r>
  <r>
    <x v="236"/>
    <x v="0"/>
    <x v="0"/>
    <x v="1"/>
    <n v="153103"/>
  </r>
  <r>
    <x v="236"/>
    <x v="0"/>
    <x v="0"/>
    <x v="2"/>
    <n v="349491"/>
  </r>
  <r>
    <x v="236"/>
    <x v="0"/>
    <x v="0"/>
    <x v="3"/>
    <n v="7100"/>
  </r>
  <r>
    <x v="236"/>
    <x v="0"/>
    <x v="0"/>
    <x v="4"/>
    <n v="5000"/>
  </r>
  <r>
    <x v="236"/>
    <x v="0"/>
    <x v="0"/>
    <x v="6"/>
    <n v="2600"/>
  </r>
  <r>
    <x v="236"/>
    <x v="0"/>
    <x v="1"/>
    <x v="5"/>
    <n v="1000"/>
  </r>
  <r>
    <x v="236"/>
    <x v="0"/>
    <x v="1"/>
    <x v="0"/>
    <n v="4003388"/>
  </r>
  <r>
    <x v="236"/>
    <x v="0"/>
    <x v="1"/>
    <x v="1"/>
    <n v="233034"/>
  </r>
  <r>
    <x v="236"/>
    <x v="0"/>
    <x v="1"/>
    <x v="2"/>
    <n v="1515406"/>
  </r>
  <r>
    <x v="236"/>
    <x v="0"/>
    <x v="1"/>
    <x v="3"/>
    <n v="59500"/>
  </r>
  <r>
    <x v="236"/>
    <x v="0"/>
    <x v="1"/>
    <x v="4"/>
    <n v="55200"/>
  </r>
  <r>
    <x v="236"/>
    <x v="0"/>
    <x v="1"/>
    <x v="6"/>
    <n v="4500"/>
  </r>
  <r>
    <x v="236"/>
    <x v="0"/>
    <x v="2"/>
    <x v="5"/>
    <n v="20100"/>
  </r>
  <r>
    <x v="236"/>
    <x v="0"/>
    <x v="2"/>
    <x v="0"/>
    <n v="5776045"/>
  </r>
  <r>
    <x v="236"/>
    <x v="0"/>
    <x v="2"/>
    <x v="1"/>
    <n v="4871100"/>
  </r>
  <r>
    <x v="236"/>
    <x v="0"/>
    <x v="2"/>
    <x v="2"/>
    <n v="4716635"/>
  </r>
  <r>
    <x v="236"/>
    <x v="0"/>
    <x v="2"/>
    <x v="3"/>
    <n v="57295"/>
  </r>
  <r>
    <x v="236"/>
    <x v="0"/>
    <x v="2"/>
    <x v="4"/>
    <n v="926730"/>
  </r>
  <r>
    <x v="236"/>
    <x v="0"/>
    <x v="2"/>
    <x v="6"/>
    <n v="2200"/>
  </r>
  <r>
    <x v="236"/>
    <x v="0"/>
    <x v="5"/>
    <x v="4"/>
    <n v="350000"/>
  </r>
  <r>
    <x v="236"/>
    <x v="0"/>
    <x v="3"/>
    <x v="0"/>
    <n v="10489"/>
  </r>
  <r>
    <x v="236"/>
    <x v="0"/>
    <x v="3"/>
    <x v="1"/>
    <n v="1390"/>
  </r>
  <r>
    <x v="236"/>
    <x v="0"/>
    <x v="3"/>
    <x v="2"/>
    <n v="2227"/>
  </r>
  <r>
    <x v="236"/>
    <x v="0"/>
    <x v="3"/>
    <x v="3"/>
    <n v="1500"/>
  </r>
  <r>
    <x v="236"/>
    <x v="0"/>
    <x v="3"/>
    <x v="4"/>
    <n v="15000"/>
  </r>
  <r>
    <x v="236"/>
    <x v="0"/>
    <x v="8"/>
    <x v="3"/>
    <n v="20000"/>
  </r>
  <r>
    <x v="236"/>
    <x v="0"/>
    <x v="4"/>
    <x v="0"/>
    <n v="135810"/>
  </r>
  <r>
    <x v="236"/>
    <x v="0"/>
    <x v="4"/>
    <x v="2"/>
    <n v="31950"/>
  </r>
  <r>
    <x v="236"/>
    <x v="1"/>
    <x v="2"/>
    <x v="4"/>
    <n v="256399"/>
  </r>
  <r>
    <x v="236"/>
    <x v="2"/>
    <x v="1"/>
    <x v="1"/>
    <n v="84106"/>
  </r>
  <r>
    <x v="236"/>
    <x v="2"/>
    <x v="1"/>
    <x v="2"/>
    <n v="41971"/>
  </r>
  <r>
    <x v="236"/>
    <x v="2"/>
    <x v="2"/>
    <x v="0"/>
    <n v="729154"/>
  </r>
  <r>
    <x v="236"/>
    <x v="2"/>
    <x v="2"/>
    <x v="1"/>
    <n v="380108"/>
  </r>
  <r>
    <x v="236"/>
    <x v="2"/>
    <x v="2"/>
    <x v="2"/>
    <n v="468163"/>
  </r>
  <r>
    <x v="236"/>
    <x v="2"/>
    <x v="2"/>
    <x v="4"/>
    <n v="200000"/>
  </r>
  <r>
    <x v="237"/>
    <x v="0"/>
    <x v="0"/>
    <x v="0"/>
    <n v="244714"/>
  </r>
  <r>
    <x v="237"/>
    <x v="0"/>
    <x v="0"/>
    <x v="1"/>
    <n v="97799"/>
  </r>
  <r>
    <x v="237"/>
    <x v="0"/>
    <x v="0"/>
    <x v="2"/>
    <n v="115413"/>
  </r>
  <r>
    <x v="237"/>
    <x v="0"/>
    <x v="10"/>
    <x v="0"/>
    <n v="58771"/>
  </r>
  <r>
    <x v="237"/>
    <x v="0"/>
    <x v="10"/>
    <x v="2"/>
    <n v="18090"/>
  </r>
  <r>
    <x v="237"/>
    <x v="0"/>
    <x v="1"/>
    <x v="0"/>
    <n v="2266824"/>
  </r>
  <r>
    <x v="237"/>
    <x v="0"/>
    <x v="1"/>
    <x v="1"/>
    <n v="191992"/>
  </r>
  <r>
    <x v="237"/>
    <x v="0"/>
    <x v="1"/>
    <x v="2"/>
    <n v="874309"/>
  </r>
  <r>
    <x v="237"/>
    <x v="0"/>
    <x v="1"/>
    <x v="4"/>
    <n v="10000"/>
  </r>
  <r>
    <x v="237"/>
    <x v="0"/>
    <x v="2"/>
    <x v="5"/>
    <n v="2500"/>
  </r>
  <r>
    <x v="237"/>
    <x v="0"/>
    <x v="2"/>
    <x v="0"/>
    <n v="3949030"/>
  </r>
  <r>
    <x v="237"/>
    <x v="0"/>
    <x v="2"/>
    <x v="1"/>
    <n v="1536250"/>
  </r>
  <r>
    <x v="237"/>
    <x v="0"/>
    <x v="2"/>
    <x v="2"/>
    <n v="2328228"/>
  </r>
  <r>
    <x v="237"/>
    <x v="0"/>
    <x v="2"/>
    <x v="3"/>
    <n v="1000"/>
  </r>
  <r>
    <x v="237"/>
    <x v="0"/>
    <x v="2"/>
    <x v="4"/>
    <n v="889083"/>
  </r>
  <r>
    <x v="237"/>
    <x v="0"/>
    <x v="3"/>
    <x v="0"/>
    <n v="115987"/>
  </r>
  <r>
    <x v="237"/>
    <x v="0"/>
    <x v="3"/>
    <x v="1"/>
    <n v="10000"/>
  </r>
  <r>
    <x v="237"/>
    <x v="0"/>
    <x v="3"/>
    <x v="2"/>
    <n v="40321"/>
  </r>
  <r>
    <x v="237"/>
    <x v="0"/>
    <x v="3"/>
    <x v="4"/>
    <n v="100000"/>
  </r>
  <r>
    <x v="237"/>
    <x v="0"/>
    <x v="8"/>
    <x v="3"/>
    <n v="5000"/>
  </r>
  <r>
    <x v="237"/>
    <x v="0"/>
    <x v="4"/>
    <x v="0"/>
    <n v="118423"/>
  </r>
  <r>
    <x v="237"/>
    <x v="0"/>
    <x v="4"/>
    <x v="2"/>
    <n v="26723"/>
  </r>
  <r>
    <x v="237"/>
    <x v="2"/>
    <x v="1"/>
    <x v="3"/>
    <n v="11000"/>
  </r>
  <r>
    <x v="237"/>
    <x v="2"/>
    <x v="2"/>
    <x v="0"/>
    <n v="73100"/>
  </r>
  <r>
    <x v="237"/>
    <x v="2"/>
    <x v="2"/>
    <x v="1"/>
    <n v="233897"/>
  </r>
  <r>
    <x v="237"/>
    <x v="2"/>
    <x v="2"/>
    <x v="2"/>
    <n v="171933"/>
  </r>
  <r>
    <x v="237"/>
    <x v="2"/>
    <x v="2"/>
    <x v="3"/>
    <n v="19158"/>
  </r>
  <r>
    <x v="237"/>
    <x v="2"/>
    <x v="2"/>
    <x v="4"/>
    <n v="1504180"/>
  </r>
  <r>
    <x v="237"/>
    <x v="2"/>
    <x v="3"/>
    <x v="0"/>
    <n v="124745"/>
  </r>
  <r>
    <x v="237"/>
    <x v="2"/>
    <x v="3"/>
    <x v="1"/>
    <n v="10000"/>
  </r>
  <r>
    <x v="237"/>
    <x v="2"/>
    <x v="3"/>
    <x v="2"/>
    <n v="42235"/>
  </r>
  <r>
    <x v="237"/>
    <x v="2"/>
    <x v="3"/>
    <x v="4"/>
    <n v="15000"/>
  </r>
  <r>
    <x v="237"/>
    <x v="2"/>
    <x v="8"/>
    <x v="4"/>
    <n v="5737"/>
  </r>
  <r>
    <x v="238"/>
    <x v="0"/>
    <x v="0"/>
    <x v="0"/>
    <n v="4500"/>
  </r>
  <r>
    <x v="238"/>
    <x v="0"/>
    <x v="0"/>
    <x v="1"/>
    <n v="36748"/>
  </r>
  <r>
    <x v="238"/>
    <x v="0"/>
    <x v="0"/>
    <x v="2"/>
    <n v="21219"/>
  </r>
  <r>
    <x v="238"/>
    <x v="0"/>
    <x v="0"/>
    <x v="3"/>
    <n v="500"/>
  </r>
  <r>
    <x v="238"/>
    <x v="0"/>
    <x v="0"/>
    <x v="4"/>
    <n v="500"/>
  </r>
  <r>
    <x v="238"/>
    <x v="0"/>
    <x v="0"/>
    <x v="6"/>
    <n v="500"/>
  </r>
  <r>
    <x v="238"/>
    <x v="0"/>
    <x v="1"/>
    <x v="0"/>
    <n v="40989"/>
  </r>
  <r>
    <x v="238"/>
    <x v="0"/>
    <x v="1"/>
    <x v="2"/>
    <n v="15881"/>
  </r>
  <r>
    <x v="238"/>
    <x v="0"/>
    <x v="1"/>
    <x v="3"/>
    <n v="1000"/>
  </r>
  <r>
    <x v="238"/>
    <x v="0"/>
    <x v="1"/>
    <x v="4"/>
    <n v="106786"/>
  </r>
  <r>
    <x v="238"/>
    <x v="0"/>
    <x v="2"/>
    <x v="0"/>
    <n v="192356"/>
  </r>
  <r>
    <x v="238"/>
    <x v="0"/>
    <x v="2"/>
    <x v="1"/>
    <n v="276369"/>
  </r>
  <r>
    <x v="238"/>
    <x v="0"/>
    <x v="2"/>
    <x v="2"/>
    <n v="247965"/>
  </r>
  <r>
    <x v="238"/>
    <x v="0"/>
    <x v="2"/>
    <x v="3"/>
    <n v="4912"/>
  </r>
  <r>
    <x v="238"/>
    <x v="0"/>
    <x v="2"/>
    <x v="4"/>
    <n v="5069"/>
  </r>
  <r>
    <x v="238"/>
    <x v="0"/>
    <x v="3"/>
    <x v="4"/>
    <n v="3000"/>
  </r>
  <r>
    <x v="238"/>
    <x v="0"/>
    <x v="4"/>
    <x v="0"/>
    <n v="3306"/>
  </r>
  <r>
    <x v="238"/>
    <x v="0"/>
    <x v="4"/>
    <x v="2"/>
    <n v="756"/>
  </r>
  <r>
    <x v="238"/>
    <x v="2"/>
    <x v="1"/>
    <x v="4"/>
    <n v="112725"/>
  </r>
  <r>
    <x v="239"/>
    <x v="0"/>
    <x v="0"/>
    <x v="0"/>
    <n v="60232"/>
  </r>
  <r>
    <x v="239"/>
    <x v="0"/>
    <x v="0"/>
    <x v="1"/>
    <n v="37575"/>
  </r>
  <r>
    <x v="239"/>
    <x v="0"/>
    <x v="0"/>
    <x v="2"/>
    <n v="39675"/>
  </r>
  <r>
    <x v="239"/>
    <x v="0"/>
    <x v="1"/>
    <x v="3"/>
    <n v="1000"/>
  </r>
  <r>
    <x v="239"/>
    <x v="0"/>
    <x v="1"/>
    <x v="4"/>
    <n v="40000"/>
  </r>
  <r>
    <x v="239"/>
    <x v="0"/>
    <x v="2"/>
    <x v="0"/>
    <n v="121757"/>
  </r>
  <r>
    <x v="239"/>
    <x v="0"/>
    <x v="2"/>
    <x v="1"/>
    <n v="315134"/>
  </r>
  <r>
    <x v="239"/>
    <x v="0"/>
    <x v="2"/>
    <x v="2"/>
    <n v="250065"/>
  </r>
  <r>
    <x v="239"/>
    <x v="0"/>
    <x v="2"/>
    <x v="3"/>
    <n v="29000"/>
  </r>
  <r>
    <x v="239"/>
    <x v="0"/>
    <x v="2"/>
    <x v="4"/>
    <n v="5000"/>
  </r>
  <r>
    <x v="239"/>
    <x v="0"/>
    <x v="3"/>
    <x v="2"/>
    <n v="386"/>
  </r>
  <r>
    <x v="239"/>
    <x v="0"/>
    <x v="8"/>
    <x v="3"/>
    <n v="1000"/>
  </r>
  <r>
    <x v="239"/>
    <x v="0"/>
    <x v="8"/>
    <x v="4"/>
    <n v="250"/>
  </r>
  <r>
    <x v="239"/>
    <x v="0"/>
    <x v="4"/>
    <x v="0"/>
    <n v="1675"/>
  </r>
  <r>
    <x v="239"/>
    <x v="0"/>
    <x v="4"/>
    <x v="2"/>
    <n v="7"/>
  </r>
  <r>
    <x v="239"/>
    <x v="2"/>
    <x v="2"/>
    <x v="0"/>
    <n v="45204"/>
  </r>
  <r>
    <x v="239"/>
    <x v="2"/>
    <x v="2"/>
    <x v="1"/>
    <n v="44339"/>
  </r>
  <r>
    <x v="239"/>
    <x v="2"/>
    <x v="2"/>
    <x v="2"/>
    <n v="45528"/>
  </r>
  <r>
    <x v="239"/>
    <x v="2"/>
    <x v="2"/>
    <x v="3"/>
    <n v="2217"/>
  </r>
  <r>
    <x v="240"/>
    <x v="0"/>
    <x v="0"/>
    <x v="0"/>
    <n v="370401"/>
  </r>
  <r>
    <x v="240"/>
    <x v="0"/>
    <x v="0"/>
    <x v="1"/>
    <n v="330283"/>
  </r>
  <r>
    <x v="240"/>
    <x v="0"/>
    <x v="0"/>
    <x v="2"/>
    <n v="254621"/>
  </r>
  <r>
    <x v="240"/>
    <x v="0"/>
    <x v="0"/>
    <x v="3"/>
    <n v="10100"/>
  </r>
  <r>
    <x v="240"/>
    <x v="0"/>
    <x v="0"/>
    <x v="4"/>
    <n v="2500"/>
  </r>
  <r>
    <x v="240"/>
    <x v="0"/>
    <x v="9"/>
    <x v="0"/>
    <n v="128117"/>
  </r>
  <r>
    <x v="240"/>
    <x v="0"/>
    <x v="9"/>
    <x v="2"/>
    <n v="40952"/>
  </r>
  <r>
    <x v="240"/>
    <x v="0"/>
    <x v="9"/>
    <x v="6"/>
    <n v="500"/>
  </r>
  <r>
    <x v="240"/>
    <x v="0"/>
    <x v="1"/>
    <x v="0"/>
    <n v="640756"/>
  </r>
  <r>
    <x v="240"/>
    <x v="0"/>
    <x v="1"/>
    <x v="1"/>
    <n v="328337"/>
  </r>
  <r>
    <x v="240"/>
    <x v="0"/>
    <x v="1"/>
    <x v="2"/>
    <n v="410857"/>
  </r>
  <r>
    <x v="240"/>
    <x v="0"/>
    <x v="1"/>
    <x v="3"/>
    <n v="55000"/>
  </r>
  <r>
    <x v="240"/>
    <x v="0"/>
    <x v="1"/>
    <x v="4"/>
    <n v="584140"/>
  </r>
  <r>
    <x v="240"/>
    <x v="0"/>
    <x v="2"/>
    <x v="0"/>
    <n v="7544026"/>
  </r>
  <r>
    <x v="240"/>
    <x v="0"/>
    <x v="2"/>
    <x v="1"/>
    <n v="5707516"/>
  </r>
  <r>
    <x v="240"/>
    <x v="0"/>
    <x v="2"/>
    <x v="2"/>
    <n v="6083321"/>
  </r>
  <r>
    <x v="240"/>
    <x v="0"/>
    <x v="2"/>
    <x v="3"/>
    <n v="75000"/>
  </r>
  <r>
    <x v="240"/>
    <x v="0"/>
    <x v="2"/>
    <x v="4"/>
    <n v="335000"/>
  </r>
  <r>
    <x v="240"/>
    <x v="0"/>
    <x v="3"/>
    <x v="0"/>
    <n v="118596"/>
  </r>
  <r>
    <x v="240"/>
    <x v="0"/>
    <x v="3"/>
    <x v="2"/>
    <n v="52149"/>
  </r>
  <r>
    <x v="240"/>
    <x v="2"/>
    <x v="1"/>
    <x v="0"/>
    <n v="3025704"/>
  </r>
  <r>
    <x v="240"/>
    <x v="2"/>
    <x v="1"/>
    <x v="2"/>
    <n v="1108619"/>
  </r>
  <r>
    <x v="240"/>
    <x v="2"/>
    <x v="2"/>
    <x v="1"/>
    <n v="1278"/>
  </r>
  <r>
    <x v="240"/>
    <x v="2"/>
    <x v="2"/>
    <x v="2"/>
    <n v="306"/>
  </r>
  <r>
    <x v="241"/>
    <x v="0"/>
    <x v="0"/>
    <x v="0"/>
    <n v="78329"/>
  </r>
  <r>
    <x v="241"/>
    <x v="0"/>
    <x v="0"/>
    <x v="1"/>
    <n v="82472"/>
  </r>
  <r>
    <x v="241"/>
    <x v="0"/>
    <x v="0"/>
    <x v="2"/>
    <n v="55871"/>
  </r>
  <r>
    <x v="241"/>
    <x v="0"/>
    <x v="0"/>
    <x v="3"/>
    <n v="500"/>
  </r>
  <r>
    <x v="241"/>
    <x v="0"/>
    <x v="0"/>
    <x v="4"/>
    <n v="5300"/>
  </r>
  <r>
    <x v="241"/>
    <x v="0"/>
    <x v="1"/>
    <x v="0"/>
    <n v="264459"/>
  </r>
  <r>
    <x v="241"/>
    <x v="0"/>
    <x v="1"/>
    <x v="2"/>
    <n v="104888"/>
  </r>
  <r>
    <x v="241"/>
    <x v="0"/>
    <x v="1"/>
    <x v="3"/>
    <n v="3150"/>
  </r>
  <r>
    <x v="241"/>
    <x v="0"/>
    <x v="2"/>
    <x v="0"/>
    <n v="665486"/>
  </r>
  <r>
    <x v="241"/>
    <x v="0"/>
    <x v="2"/>
    <x v="1"/>
    <n v="575850"/>
  </r>
  <r>
    <x v="241"/>
    <x v="0"/>
    <x v="2"/>
    <x v="2"/>
    <n v="647087"/>
  </r>
  <r>
    <x v="241"/>
    <x v="0"/>
    <x v="2"/>
    <x v="3"/>
    <n v="4600"/>
  </r>
  <r>
    <x v="241"/>
    <x v="0"/>
    <x v="2"/>
    <x v="4"/>
    <n v="10750"/>
  </r>
  <r>
    <x v="241"/>
    <x v="0"/>
    <x v="4"/>
    <x v="0"/>
    <n v="5452"/>
  </r>
  <r>
    <x v="241"/>
    <x v="0"/>
    <x v="4"/>
    <x v="2"/>
    <n v="1320"/>
  </r>
  <r>
    <x v="241"/>
    <x v="1"/>
    <x v="1"/>
    <x v="3"/>
    <n v="55978"/>
  </r>
  <r>
    <x v="241"/>
    <x v="1"/>
    <x v="2"/>
    <x v="4"/>
    <n v="4689"/>
  </r>
  <r>
    <x v="241"/>
    <x v="2"/>
    <x v="1"/>
    <x v="0"/>
    <n v="246031"/>
  </r>
  <r>
    <x v="241"/>
    <x v="2"/>
    <x v="1"/>
    <x v="2"/>
    <n v="86715"/>
  </r>
  <r>
    <x v="242"/>
    <x v="0"/>
    <x v="2"/>
    <x v="0"/>
    <n v="96619"/>
  </r>
  <r>
    <x v="242"/>
    <x v="0"/>
    <x v="2"/>
    <x v="1"/>
    <n v="29818"/>
  </r>
  <r>
    <x v="242"/>
    <x v="0"/>
    <x v="2"/>
    <x v="2"/>
    <n v="53635"/>
  </r>
  <r>
    <x v="242"/>
    <x v="0"/>
    <x v="2"/>
    <x v="3"/>
    <n v="2000"/>
  </r>
  <r>
    <x v="242"/>
    <x v="0"/>
    <x v="2"/>
    <x v="4"/>
    <n v="129386"/>
  </r>
  <r>
    <x v="242"/>
    <x v="0"/>
    <x v="2"/>
    <x v="6"/>
    <n v="6849"/>
  </r>
  <r>
    <x v="242"/>
    <x v="2"/>
    <x v="5"/>
    <x v="4"/>
    <n v="42000"/>
  </r>
  <r>
    <x v="243"/>
    <x v="0"/>
    <x v="0"/>
    <x v="0"/>
    <n v="41151"/>
  </r>
  <r>
    <x v="243"/>
    <x v="0"/>
    <x v="0"/>
    <x v="2"/>
    <n v="22048"/>
  </r>
  <r>
    <x v="243"/>
    <x v="0"/>
    <x v="0"/>
    <x v="3"/>
    <n v="215"/>
  </r>
  <r>
    <x v="243"/>
    <x v="0"/>
    <x v="1"/>
    <x v="0"/>
    <n v="3151"/>
  </r>
  <r>
    <x v="243"/>
    <x v="0"/>
    <x v="1"/>
    <x v="2"/>
    <n v="1347"/>
  </r>
  <r>
    <x v="243"/>
    <x v="0"/>
    <x v="1"/>
    <x v="3"/>
    <n v="2800"/>
  </r>
  <r>
    <x v="243"/>
    <x v="0"/>
    <x v="1"/>
    <x v="4"/>
    <n v="150000"/>
  </r>
  <r>
    <x v="243"/>
    <x v="0"/>
    <x v="2"/>
    <x v="0"/>
    <n v="159037"/>
  </r>
  <r>
    <x v="243"/>
    <x v="0"/>
    <x v="2"/>
    <x v="1"/>
    <n v="162260"/>
  </r>
  <r>
    <x v="243"/>
    <x v="0"/>
    <x v="2"/>
    <x v="2"/>
    <n v="187656"/>
  </r>
  <r>
    <x v="243"/>
    <x v="0"/>
    <x v="2"/>
    <x v="3"/>
    <n v="36781"/>
  </r>
  <r>
    <x v="243"/>
    <x v="0"/>
    <x v="4"/>
    <x v="0"/>
    <n v="4919"/>
  </r>
  <r>
    <x v="243"/>
    <x v="0"/>
    <x v="4"/>
    <x v="2"/>
    <n v="2258"/>
  </r>
  <r>
    <x v="243"/>
    <x v="2"/>
    <x v="1"/>
    <x v="0"/>
    <n v="59986"/>
  </r>
  <r>
    <x v="243"/>
    <x v="2"/>
    <x v="1"/>
    <x v="2"/>
    <n v="25642"/>
  </r>
  <r>
    <x v="243"/>
    <x v="2"/>
    <x v="1"/>
    <x v="4"/>
    <n v="3646"/>
  </r>
  <r>
    <x v="244"/>
    <x v="0"/>
    <x v="0"/>
    <x v="5"/>
    <n v="6430"/>
  </r>
  <r>
    <x v="244"/>
    <x v="0"/>
    <x v="0"/>
    <x v="0"/>
    <n v="832080"/>
  </r>
  <r>
    <x v="244"/>
    <x v="0"/>
    <x v="0"/>
    <x v="1"/>
    <n v="373135"/>
  </r>
  <r>
    <x v="244"/>
    <x v="0"/>
    <x v="0"/>
    <x v="2"/>
    <n v="410843"/>
  </r>
  <r>
    <x v="244"/>
    <x v="0"/>
    <x v="0"/>
    <x v="3"/>
    <n v="-242819"/>
  </r>
  <r>
    <x v="244"/>
    <x v="0"/>
    <x v="0"/>
    <x v="4"/>
    <n v="-8202"/>
  </r>
  <r>
    <x v="244"/>
    <x v="0"/>
    <x v="0"/>
    <x v="6"/>
    <n v="3162"/>
  </r>
  <r>
    <x v="244"/>
    <x v="0"/>
    <x v="10"/>
    <x v="5"/>
    <n v="705"/>
  </r>
  <r>
    <x v="244"/>
    <x v="0"/>
    <x v="10"/>
    <x v="1"/>
    <n v="1977"/>
  </r>
  <r>
    <x v="244"/>
    <x v="0"/>
    <x v="10"/>
    <x v="2"/>
    <n v="435"/>
  </r>
  <r>
    <x v="244"/>
    <x v="0"/>
    <x v="10"/>
    <x v="3"/>
    <n v="5050"/>
  </r>
  <r>
    <x v="244"/>
    <x v="0"/>
    <x v="10"/>
    <x v="4"/>
    <n v="707"/>
  </r>
  <r>
    <x v="244"/>
    <x v="0"/>
    <x v="9"/>
    <x v="0"/>
    <n v="1128443"/>
  </r>
  <r>
    <x v="244"/>
    <x v="0"/>
    <x v="9"/>
    <x v="2"/>
    <n v="411837"/>
  </r>
  <r>
    <x v="244"/>
    <x v="0"/>
    <x v="1"/>
    <x v="5"/>
    <n v="23927"/>
  </r>
  <r>
    <x v="244"/>
    <x v="0"/>
    <x v="1"/>
    <x v="0"/>
    <n v="9815436"/>
  </r>
  <r>
    <x v="244"/>
    <x v="0"/>
    <x v="1"/>
    <x v="1"/>
    <n v="756039"/>
  </r>
  <r>
    <x v="244"/>
    <x v="0"/>
    <x v="1"/>
    <x v="2"/>
    <n v="3999054"/>
  </r>
  <r>
    <x v="244"/>
    <x v="0"/>
    <x v="1"/>
    <x v="3"/>
    <n v="144785"/>
  </r>
  <r>
    <x v="244"/>
    <x v="0"/>
    <x v="1"/>
    <x v="4"/>
    <n v="34466"/>
  </r>
  <r>
    <x v="244"/>
    <x v="0"/>
    <x v="1"/>
    <x v="6"/>
    <n v="23232"/>
  </r>
  <r>
    <x v="244"/>
    <x v="0"/>
    <x v="2"/>
    <x v="5"/>
    <n v="22729"/>
  </r>
  <r>
    <x v="244"/>
    <x v="0"/>
    <x v="2"/>
    <x v="0"/>
    <n v="13168427"/>
  </r>
  <r>
    <x v="244"/>
    <x v="0"/>
    <x v="2"/>
    <x v="1"/>
    <n v="11935362"/>
  </r>
  <r>
    <x v="244"/>
    <x v="0"/>
    <x v="2"/>
    <x v="2"/>
    <n v="13013622"/>
  </r>
  <r>
    <x v="244"/>
    <x v="0"/>
    <x v="2"/>
    <x v="3"/>
    <n v="306277"/>
  </r>
  <r>
    <x v="244"/>
    <x v="0"/>
    <x v="2"/>
    <x v="4"/>
    <n v="1923954"/>
  </r>
  <r>
    <x v="244"/>
    <x v="0"/>
    <x v="2"/>
    <x v="6"/>
    <n v="-4797"/>
  </r>
  <r>
    <x v="244"/>
    <x v="0"/>
    <x v="11"/>
    <x v="0"/>
    <n v="5105"/>
  </r>
  <r>
    <x v="244"/>
    <x v="0"/>
    <x v="11"/>
    <x v="1"/>
    <n v="9841"/>
  </r>
  <r>
    <x v="244"/>
    <x v="0"/>
    <x v="11"/>
    <x v="2"/>
    <n v="3441"/>
  </r>
  <r>
    <x v="244"/>
    <x v="0"/>
    <x v="11"/>
    <x v="4"/>
    <n v="6060"/>
  </r>
  <r>
    <x v="244"/>
    <x v="0"/>
    <x v="11"/>
    <x v="6"/>
    <n v="101"/>
  </r>
  <r>
    <x v="244"/>
    <x v="0"/>
    <x v="3"/>
    <x v="5"/>
    <n v="337"/>
  </r>
  <r>
    <x v="244"/>
    <x v="0"/>
    <x v="3"/>
    <x v="0"/>
    <n v="974553"/>
  </r>
  <r>
    <x v="244"/>
    <x v="0"/>
    <x v="3"/>
    <x v="1"/>
    <n v="9139"/>
  </r>
  <r>
    <x v="244"/>
    <x v="0"/>
    <x v="3"/>
    <x v="2"/>
    <n v="184558"/>
  </r>
  <r>
    <x v="244"/>
    <x v="0"/>
    <x v="3"/>
    <x v="3"/>
    <n v="3334"/>
  </r>
  <r>
    <x v="244"/>
    <x v="0"/>
    <x v="3"/>
    <x v="4"/>
    <n v="32347"/>
  </r>
  <r>
    <x v="244"/>
    <x v="0"/>
    <x v="3"/>
    <x v="6"/>
    <n v="7878"/>
  </r>
  <r>
    <x v="244"/>
    <x v="0"/>
    <x v="6"/>
    <x v="5"/>
    <n v="86965"/>
  </r>
  <r>
    <x v="244"/>
    <x v="0"/>
    <x v="6"/>
    <x v="3"/>
    <n v="85415"/>
  </r>
  <r>
    <x v="244"/>
    <x v="0"/>
    <x v="6"/>
    <x v="4"/>
    <n v="505"/>
  </r>
  <r>
    <x v="244"/>
    <x v="0"/>
    <x v="8"/>
    <x v="0"/>
    <n v="124000"/>
  </r>
  <r>
    <x v="244"/>
    <x v="0"/>
    <x v="8"/>
    <x v="2"/>
    <n v="17954"/>
  </r>
  <r>
    <x v="244"/>
    <x v="0"/>
    <x v="8"/>
    <x v="3"/>
    <n v="243483"/>
  </r>
  <r>
    <x v="244"/>
    <x v="0"/>
    <x v="4"/>
    <x v="0"/>
    <n v="284553"/>
  </r>
  <r>
    <x v="244"/>
    <x v="0"/>
    <x v="4"/>
    <x v="2"/>
    <n v="63571"/>
  </r>
  <r>
    <x v="244"/>
    <x v="2"/>
    <x v="1"/>
    <x v="5"/>
    <n v="433"/>
  </r>
  <r>
    <x v="244"/>
    <x v="2"/>
    <x v="1"/>
    <x v="0"/>
    <n v="194565"/>
  </r>
  <r>
    <x v="244"/>
    <x v="2"/>
    <x v="1"/>
    <x v="2"/>
    <n v="70838"/>
  </r>
  <r>
    <x v="244"/>
    <x v="2"/>
    <x v="1"/>
    <x v="4"/>
    <n v="51"/>
  </r>
  <r>
    <x v="244"/>
    <x v="2"/>
    <x v="1"/>
    <x v="6"/>
    <n v="253"/>
  </r>
  <r>
    <x v="244"/>
    <x v="2"/>
    <x v="2"/>
    <x v="5"/>
    <n v="2096"/>
  </r>
  <r>
    <x v="244"/>
    <x v="2"/>
    <x v="2"/>
    <x v="0"/>
    <n v="4321213"/>
  </r>
  <r>
    <x v="244"/>
    <x v="2"/>
    <x v="2"/>
    <x v="1"/>
    <n v="67986"/>
  </r>
  <r>
    <x v="244"/>
    <x v="2"/>
    <x v="2"/>
    <x v="2"/>
    <n v="1601720"/>
  </r>
  <r>
    <x v="244"/>
    <x v="2"/>
    <x v="2"/>
    <x v="3"/>
    <n v="15004"/>
  </r>
  <r>
    <x v="244"/>
    <x v="2"/>
    <x v="2"/>
    <x v="4"/>
    <n v="57"/>
  </r>
  <r>
    <x v="244"/>
    <x v="2"/>
    <x v="2"/>
    <x v="6"/>
    <n v="391"/>
  </r>
  <r>
    <x v="244"/>
    <x v="2"/>
    <x v="3"/>
    <x v="0"/>
    <n v="231919"/>
  </r>
  <r>
    <x v="244"/>
    <x v="2"/>
    <x v="3"/>
    <x v="2"/>
    <n v="47503"/>
  </r>
  <r>
    <x v="244"/>
    <x v="2"/>
    <x v="3"/>
    <x v="4"/>
    <n v="2500"/>
  </r>
  <r>
    <x v="244"/>
    <x v="2"/>
    <x v="3"/>
    <x v="6"/>
    <n v="8262"/>
  </r>
  <r>
    <x v="244"/>
    <x v="2"/>
    <x v="6"/>
    <x v="5"/>
    <n v="12017"/>
  </r>
  <r>
    <x v="244"/>
    <x v="2"/>
    <x v="6"/>
    <x v="3"/>
    <n v="51"/>
  </r>
  <r>
    <x v="244"/>
    <x v="2"/>
    <x v="8"/>
    <x v="3"/>
    <n v="101"/>
  </r>
  <r>
    <x v="245"/>
    <x v="0"/>
    <x v="1"/>
    <x v="4"/>
    <n v="10000"/>
  </r>
  <r>
    <x v="245"/>
    <x v="0"/>
    <x v="2"/>
    <x v="0"/>
    <n v="97803"/>
  </r>
  <r>
    <x v="245"/>
    <x v="0"/>
    <x v="2"/>
    <x v="2"/>
    <n v="41270"/>
  </r>
  <r>
    <x v="245"/>
    <x v="0"/>
    <x v="2"/>
    <x v="3"/>
    <n v="600"/>
  </r>
  <r>
    <x v="245"/>
    <x v="2"/>
    <x v="1"/>
    <x v="4"/>
    <n v="20473"/>
  </r>
  <r>
    <x v="246"/>
    <x v="0"/>
    <x v="2"/>
    <x v="0"/>
    <n v="78784"/>
  </r>
  <r>
    <x v="246"/>
    <x v="0"/>
    <x v="2"/>
    <x v="1"/>
    <n v="44096"/>
  </r>
  <r>
    <x v="246"/>
    <x v="0"/>
    <x v="2"/>
    <x v="2"/>
    <n v="59406"/>
  </r>
  <r>
    <x v="246"/>
    <x v="0"/>
    <x v="2"/>
    <x v="3"/>
    <n v="1000"/>
  </r>
  <r>
    <x v="246"/>
    <x v="0"/>
    <x v="2"/>
    <x v="4"/>
    <n v="22500"/>
  </r>
  <r>
    <x v="246"/>
    <x v="0"/>
    <x v="2"/>
    <x v="6"/>
    <n v="300"/>
  </r>
  <r>
    <x v="246"/>
    <x v="0"/>
    <x v="3"/>
    <x v="0"/>
    <n v="3000"/>
  </r>
  <r>
    <x v="246"/>
    <x v="0"/>
    <x v="3"/>
    <x v="2"/>
    <n v="696"/>
  </r>
  <r>
    <x v="246"/>
    <x v="2"/>
    <x v="2"/>
    <x v="4"/>
    <n v="50000"/>
  </r>
  <r>
    <x v="247"/>
    <x v="0"/>
    <x v="0"/>
    <x v="0"/>
    <n v="372599"/>
  </r>
  <r>
    <x v="247"/>
    <x v="0"/>
    <x v="0"/>
    <x v="1"/>
    <n v="366314"/>
  </r>
  <r>
    <x v="247"/>
    <x v="0"/>
    <x v="0"/>
    <x v="2"/>
    <n v="241761"/>
  </r>
  <r>
    <x v="247"/>
    <x v="0"/>
    <x v="0"/>
    <x v="3"/>
    <n v="5000"/>
  </r>
  <r>
    <x v="247"/>
    <x v="0"/>
    <x v="0"/>
    <x v="4"/>
    <n v="3100"/>
  </r>
  <r>
    <x v="247"/>
    <x v="0"/>
    <x v="1"/>
    <x v="0"/>
    <n v="1543851"/>
  </r>
  <r>
    <x v="247"/>
    <x v="0"/>
    <x v="1"/>
    <x v="1"/>
    <n v="191678"/>
  </r>
  <r>
    <x v="247"/>
    <x v="0"/>
    <x v="1"/>
    <x v="2"/>
    <n v="643821"/>
  </r>
  <r>
    <x v="247"/>
    <x v="0"/>
    <x v="1"/>
    <x v="3"/>
    <n v="6500"/>
  </r>
  <r>
    <x v="247"/>
    <x v="0"/>
    <x v="1"/>
    <x v="4"/>
    <n v="67000"/>
  </r>
  <r>
    <x v="247"/>
    <x v="0"/>
    <x v="1"/>
    <x v="6"/>
    <n v="2000"/>
  </r>
  <r>
    <x v="247"/>
    <x v="0"/>
    <x v="2"/>
    <x v="0"/>
    <n v="3096082"/>
  </r>
  <r>
    <x v="247"/>
    <x v="0"/>
    <x v="2"/>
    <x v="1"/>
    <n v="3830878"/>
  </r>
  <r>
    <x v="247"/>
    <x v="0"/>
    <x v="2"/>
    <x v="2"/>
    <n v="3246353"/>
  </r>
  <r>
    <x v="247"/>
    <x v="0"/>
    <x v="2"/>
    <x v="3"/>
    <n v="18500"/>
  </r>
  <r>
    <x v="247"/>
    <x v="0"/>
    <x v="2"/>
    <x v="4"/>
    <n v="549520"/>
  </r>
  <r>
    <x v="247"/>
    <x v="0"/>
    <x v="3"/>
    <x v="0"/>
    <n v="10000"/>
  </r>
  <r>
    <x v="247"/>
    <x v="0"/>
    <x v="3"/>
    <x v="2"/>
    <n v="3249"/>
  </r>
  <r>
    <x v="247"/>
    <x v="0"/>
    <x v="3"/>
    <x v="4"/>
    <n v="8000"/>
  </r>
  <r>
    <x v="247"/>
    <x v="2"/>
    <x v="1"/>
    <x v="0"/>
    <n v="632779"/>
  </r>
  <r>
    <x v="247"/>
    <x v="2"/>
    <x v="1"/>
    <x v="2"/>
    <n v="227340"/>
  </r>
  <r>
    <x v="247"/>
    <x v="2"/>
    <x v="2"/>
    <x v="1"/>
    <n v="20381"/>
  </r>
  <r>
    <x v="247"/>
    <x v="2"/>
    <x v="2"/>
    <x v="2"/>
    <n v="13734"/>
  </r>
  <r>
    <x v="247"/>
    <x v="2"/>
    <x v="2"/>
    <x v="4"/>
    <n v="2279"/>
  </r>
  <r>
    <x v="248"/>
    <x v="0"/>
    <x v="2"/>
    <x v="4"/>
    <n v="10785"/>
  </r>
  <r>
    <x v="249"/>
    <x v="0"/>
    <x v="0"/>
    <x v="0"/>
    <n v="12000"/>
  </r>
  <r>
    <x v="249"/>
    <x v="0"/>
    <x v="0"/>
    <x v="2"/>
    <n v="2711"/>
  </r>
  <r>
    <x v="249"/>
    <x v="0"/>
    <x v="1"/>
    <x v="4"/>
    <n v="1195"/>
  </r>
  <r>
    <x v="249"/>
    <x v="0"/>
    <x v="1"/>
    <x v="6"/>
    <n v="760"/>
  </r>
  <r>
    <x v="249"/>
    <x v="0"/>
    <x v="2"/>
    <x v="3"/>
    <n v="2055"/>
  </r>
  <r>
    <x v="249"/>
    <x v="0"/>
    <x v="2"/>
    <x v="4"/>
    <n v="799023"/>
  </r>
  <r>
    <x v="249"/>
    <x v="2"/>
    <x v="2"/>
    <x v="4"/>
    <n v="8685"/>
  </r>
  <r>
    <x v="250"/>
    <x v="0"/>
    <x v="0"/>
    <x v="0"/>
    <n v="296826"/>
  </r>
  <r>
    <x v="250"/>
    <x v="0"/>
    <x v="0"/>
    <x v="1"/>
    <n v="62712"/>
  </r>
  <r>
    <x v="250"/>
    <x v="0"/>
    <x v="0"/>
    <x v="2"/>
    <n v="120478"/>
  </r>
  <r>
    <x v="250"/>
    <x v="0"/>
    <x v="0"/>
    <x v="4"/>
    <n v="7000"/>
  </r>
  <r>
    <x v="250"/>
    <x v="0"/>
    <x v="1"/>
    <x v="0"/>
    <n v="1137682"/>
  </r>
  <r>
    <x v="250"/>
    <x v="0"/>
    <x v="1"/>
    <x v="1"/>
    <n v="45600"/>
  </r>
  <r>
    <x v="250"/>
    <x v="0"/>
    <x v="1"/>
    <x v="2"/>
    <n v="443693"/>
  </r>
  <r>
    <x v="250"/>
    <x v="0"/>
    <x v="1"/>
    <x v="4"/>
    <n v="7000"/>
  </r>
  <r>
    <x v="250"/>
    <x v="0"/>
    <x v="2"/>
    <x v="0"/>
    <n v="1917489"/>
  </r>
  <r>
    <x v="250"/>
    <x v="0"/>
    <x v="2"/>
    <x v="1"/>
    <n v="1033756"/>
  </r>
  <r>
    <x v="250"/>
    <x v="0"/>
    <x v="2"/>
    <x v="2"/>
    <n v="1320888"/>
  </r>
  <r>
    <x v="250"/>
    <x v="0"/>
    <x v="2"/>
    <x v="3"/>
    <n v="10800"/>
  </r>
  <r>
    <x v="250"/>
    <x v="0"/>
    <x v="2"/>
    <x v="4"/>
    <n v="108000"/>
  </r>
  <r>
    <x v="250"/>
    <x v="0"/>
    <x v="3"/>
    <x v="4"/>
    <n v="5000"/>
  </r>
  <r>
    <x v="250"/>
    <x v="0"/>
    <x v="8"/>
    <x v="3"/>
    <n v="10000"/>
  </r>
  <r>
    <x v="250"/>
    <x v="2"/>
    <x v="2"/>
    <x v="0"/>
    <n v="224201"/>
  </r>
  <r>
    <x v="250"/>
    <x v="2"/>
    <x v="2"/>
    <x v="1"/>
    <n v="318144"/>
  </r>
  <r>
    <x v="250"/>
    <x v="2"/>
    <x v="2"/>
    <x v="2"/>
    <n v="272002"/>
  </r>
  <r>
    <x v="250"/>
    <x v="2"/>
    <x v="2"/>
    <x v="3"/>
    <n v="3000"/>
  </r>
  <r>
    <x v="250"/>
    <x v="2"/>
    <x v="2"/>
    <x v="4"/>
    <n v="60000"/>
  </r>
  <r>
    <x v="250"/>
    <x v="2"/>
    <x v="5"/>
    <x v="4"/>
    <n v="56000"/>
  </r>
  <r>
    <x v="251"/>
    <x v="0"/>
    <x v="0"/>
    <x v="0"/>
    <n v="2192"/>
  </r>
  <r>
    <x v="251"/>
    <x v="0"/>
    <x v="0"/>
    <x v="2"/>
    <n v="494"/>
  </r>
  <r>
    <x v="251"/>
    <x v="0"/>
    <x v="1"/>
    <x v="4"/>
    <n v="25000"/>
  </r>
  <r>
    <x v="251"/>
    <x v="0"/>
    <x v="2"/>
    <x v="0"/>
    <n v="21339"/>
  </r>
  <r>
    <x v="251"/>
    <x v="0"/>
    <x v="2"/>
    <x v="2"/>
    <n v="9067"/>
  </r>
  <r>
    <x v="251"/>
    <x v="2"/>
    <x v="1"/>
    <x v="4"/>
    <n v="11000"/>
  </r>
  <r>
    <x v="252"/>
    <x v="0"/>
    <x v="2"/>
    <x v="4"/>
    <n v="1300000"/>
  </r>
  <r>
    <x v="253"/>
    <x v="0"/>
    <x v="0"/>
    <x v="0"/>
    <n v="167735"/>
  </r>
  <r>
    <x v="253"/>
    <x v="0"/>
    <x v="0"/>
    <x v="2"/>
    <n v="47963"/>
  </r>
  <r>
    <x v="253"/>
    <x v="0"/>
    <x v="0"/>
    <x v="3"/>
    <n v="250"/>
  </r>
  <r>
    <x v="253"/>
    <x v="0"/>
    <x v="0"/>
    <x v="4"/>
    <n v="2000"/>
  </r>
  <r>
    <x v="253"/>
    <x v="0"/>
    <x v="9"/>
    <x v="3"/>
    <n v="2500"/>
  </r>
  <r>
    <x v="253"/>
    <x v="0"/>
    <x v="1"/>
    <x v="0"/>
    <n v="214413"/>
  </r>
  <r>
    <x v="253"/>
    <x v="0"/>
    <x v="1"/>
    <x v="2"/>
    <n v="73726"/>
  </r>
  <r>
    <x v="253"/>
    <x v="0"/>
    <x v="2"/>
    <x v="0"/>
    <n v="1313311"/>
  </r>
  <r>
    <x v="253"/>
    <x v="0"/>
    <x v="2"/>
    <x v="1"/>
    <n v="807572"/>
  </r>
  <r>
    <x v="253"/>
    <x v="0"/>
    <x v="2"/>
    <x v="2"/>
    <n v="965952"/>
  </r>
  <r>
    <x v="253"/>
    <x v="0"/>
    <x v="2"/>
    <x v="3"/>
    <n v="100"/>
  </r>
  <r>
    <x v="253"/>
    <x v="0"/>
    <x v="2"/>
    <x v="4"/>
    <n v="1101750"/>
  </r>
  <r>
    <x v="253"/>
    <x v="2"/>
    <x v="2"/>
    <x v="0"/>
    <n v="16206"/>
  </r>
  <r>
    <x v="253"/>
    <x v="2"/>
    <x v="2"/>
    <x v="1"/>
    <n v="90361"/>
  </r>
  <r>
    <x v="253"/>
    <x v="2"/>
    <x v="2"/>
    <x v="2"/>
    <n v="62898"/>
  </r>
  <r>
    <x v="253"/>
    <x v="2"/>
    <x v="2"/>
    <x v="4"/>
    <n v="289877"/>
  </r>
  <r>
    <x v="254"/>
    <x v="0"/>
    <x v="10"/>
    <x v="0"/>
    <n v="79808"/>
  </r>
  <r>
    <x v="254"/>
    <x v="0"/>
    <x v="10"/>
    <x v="2"/>
    <n v="25514"/>
  </r>
  <r>
    <x v="254"/>
    <x v="0"/>
    <x v="2"/>
    <x v="0"/>
    <n v="203463"/>
  </r>
  <r>
    <x v="254"/>
    <x v="0"/>
    <x v="2"/>
    <x v="1"/>
    <n v="49121"/>
  </r>
  <r>
    <x v="254"/>
    <x v="0"/>
    <x v="2"/>
    <x v="2"/>
    <n v="74084"/>
  </r>
  <r>
    <x v="254"/>
    <x v="0"/>
    <x v="2"/>
    <x v="4"/>
    <n v="675727"/>
  </r>
  <r>
    <x v="254"/>
    <x v="2"/>
    <x v="2"/>
    <x v="0"/>
    <n v="153822"/>
  </r>
  <r>
    <x v="254"/>
    <x v="2"/>
    <x v="2"/>
    <x v="2"/>
    <n v="55013"/>
  </r>
  <r>
    <x v="255"/>
    <x v="0"/>
    <x v="10"/>
    <x v="0"/>
    <n v="39904"/>
  </r>
  <r>
    <x v="255"/>
    <x v="0"/>
    <x v="10"/>
    <x v="2"/>
    <n v="12757"/>
  </r>
  <r>
    <x v="255"/>
    <x v="0"/>
    <x v="2"/>
    <x v="0"/>
    <n v="134762"/>
  </r>
  <r>
    <x v="255"/>
    <x v="0"/>
    <x v="2"/>
    <x v="1"/>
    <n v="42429"/>
  </r>
  <r>
    <x v="255"/>
    <x v="0"/>
    <x v="2"/>
    <x v="2"/>
    <n v="56335"/>
  </r>
  <r>
    <x v="255"/>
    <x v="0"/>
    <x v="2"/>
    <x v="4"/>
    <n v="151016"/>
  </r>
  <r>
    <x v="255"/>
    <x v="2"/>
    <x v="2"/>
    <x v="0"/>
    <n v="30238"/>
  </r>
  <r>
    <x v="255"/>
    <x v="2"/>
    <x v="2"/>
    <x v="2"/>
    <n v="11103"/>
  </r>
  <r>
    <x v="256"/>
    <x v="0"/>
    <x v="10"/>
    <x v="0"/>
    <n v="39904"/>
  </r>
  <r>
    <x v="256"/>
    <x v="0"/>
    <x v="10"/>
    <x v="2"/>
    <n v="12757"/>
  </r>
  <r>
    <x v="256"/>
    <x v="0"/>
    <x v="2"/>
    <x v="0"/>
    <n v="171042"/>
  </r>
  <r>
    <x v="256"/>
    <x v="0"/>
    <x v="2"/>
    <x v="1"/>
    <n v="3296"/>
  </r>
  <r>
    <x v="256"/>
    <x v="0"/>
    <x v="2"/>
    <x v="2"/>
    <n v="66347"/>
  </r>
  <r>
    <x v="256"/>
    <x v="0"/>
    <x v="2"/>
    <x v="4"/>
    <n v="459322"/>
  </r>
  <r>
    <x v="256"/>
    <x v="2"/>
    <x v="2"/>
    <x v="0"/>
    <n v="38182"/>
  </r>
  <r>
    <x v="256"/>
    <x v="2"/>
    <x v="2"/>
    <x v="2"/>
    <n v="14893"/>
  </r>
  <r>
    <x v="257"/>
    <x v="0"/>
    <x v="0"/>
    <x v="0"/>
    <n v="16900"/>
  </r>
  <r>
    <x v="257"/>
    <x v="0"/>
    <x v="0"/>
    <x v="2"/>
    <n v="5198"/>
  </r>
  <r>
    <x v="257"/>
    <x v="0"/>
    <x v="1"/>
    <x v="4"/>
    <n v="12000"/>
  </r>
  <r>
    <x v="257"/>
    <x v="0"/>
    <x v="2"/>
    <x v="0"/>
    <n v="10327"/>
  </r>
  <r>
    <x v="257"/>
    <x v="0"/>
    <x v="2"/>
    <x v="1"/>
    <n v="23471"/>
  </r>
  <r>
    <x v="257"/>
    <x v="0"/>
    <x v="2"/>
    <x v="2"/>
    <n v="22245"/>
  </r>
  <r>
    <x v="257"/>
    <x v="0"/>
    <x v="2"/>
    <x v="3"/>
    <n v="500"/>
  </r>
  <r>
    <x v="257"/>
    <x v="0"/>
    <x v="2"/>
    <x v="4"/>
    <n v="1250"/>
  </r>
  <r>
    <x v="257"/>
    <x v="0"/>
    <x v="3"/>
    <x v="6"/>
    <n v="150"/>
  </r>
  <r>
    <x v="257"/>
    <x v="0"/>
    <x v="8"/>
    <x v="3"/>
    <n v="300"/>
  </r>
  <r>
    <x v="257"/>
    <x v="2"/>
    <x v="1"/>
    <x v="4"/>
    <n v="17197"/>
  </r>
  <r>
    <x v="258"/>
    <x v="0"/>
    <x v="0"/>
    <x v="0"/>
    <n v="555778"/>
  </r>
  <r>
    <x v="258"/>
    <x v="0"/>
    <x v="0"/>
    <x v="1"/>
    <n v="117959"/>
  </r>
  <r>
    <x v="258"/>
    <x v="0"/>
    <x v="0"/>
    <x v="2"/>
    <n v="210447"/>
  </r>
  <r>
    <x v="258"/>
    <x v="0"/>
    <x v="0"/>
    <x v="3"/>
    <n v="1000"/>
  </r>
  <r>
    <x v="258"/>
    <x v="0"/>
    <x v="0"/>
    <x v="4"/>
    <n v="100"/>
  </r>
  <r>
    <x v="258"/>
    <x v="0"/>
    <x v="0"/>
    <x v="6"/>
    <n v="7200"/>
  </r>
  <r>
    <x v="258"/>
    <x v="0"/>
    <x v="9"/>
    <x v="0"/>
    <n v="933921"/>
  </r>
  <r>
    <x v="258"/>
    <x v="0"/>
    <x v="9"/>
    <x v="2"/>
    <n v="374610"/>
  </r>
  <r>
    <x v="258"/>
    <x v="0"/>
    <x v="9"/>
    <x v="4"/>
    <n v="150"/>
  </r>
  <r>
    <x v="258"/>
    <x v="0"/>
    <x v="1"/>
    <x v="0"/>
    <n v="3525784"/>
  </r>
  <r>
    <x v="258"/>
    <x v="0"/>
    <x v="1"/>
    <x v="1"/>
    <n v="123061"/>
  </r>
  <r>
    <x v="258"/>
    <x v="0"/>
    <x v="1"/>
    <x v="2"/>
    <n v="1330801"/>
  </r>
  <r>
    <x v="258"/>
    <x v="0"/>
    <x v="1"/>
    <x v="3"/>
    <n v="23000"/>
  </r>
  <r>
    <x v="258"/>
    <x v="0"/>
    <x v="1"/>
    <x v="4"/>
    <n v="310195"/>
  </r>
  <r>
    <x v="258"/>
    <x v="0"/>
    <x v="1"/>
    <x v="6"/>
    <n v="5050"/>
  </r>
  <r>
    <x v="258"/>
    <x v="0"/>
    <x v="2"/>
    <x v="5"/>
    <n v="11500"/>
  </r>
  <r>
    <x v="258"/>
    <x v="0"/>
    <x v="2"/>
    <x v="0"/>
    <n v="4852203"/>
  </r>
  <r>
    <x v="258"/>
    <x v="0"/>
    <x v="2"/>
    <x v="1"/>
    <n v="4140325"/>
  </r>
  <r>
    <x v="258"/>
    <x v="0"/>
    <x v="2"/>
    <x v="2"/>
    <n v="4436444"/>
  </r>
  <r>
    <x v="258"/>
    <x v="0"/>
    <x v="2"/>
    <x v="3"/>
    <n v="29750"/>
  </r>
  <r>
    <x v="258"/>
    <x v="0"/>
    <x v="2"/>
    <x v="4"/>
    <n v="185605"/>
  </r>
  <r>
    <x v="258"/>
    <x v="0"/>
    <x v="2"/>
    <x v="6"/>
    <n v="2400"/>
  </r>
  <r>
    <x v="258"/>
    <x v="0"/>
    <x v="5"/>
    <x v="4"/>
    <n v="160000"/>
  </r>
  <r>
    <x v="258"/>
    <x v="0"/>
    <x v="3"/>
    <x v="0"/>
    <n v="90350"/>
  </r>
  <r>
    <x v="258"/>
    <x v="0"/>
    <x v="3"/>
    <x v="1"/>
    <n v="40540"/>
  </r>
  <r>
    <x v="258"/>
    <x v="0"/>
    <x v="3"/>
    <x v="2"/>
    <n v="41335"/>
  </r>
  <r>
    <x v="258"/>
    <x v="0"/>
    <x v="6"/>
    <x v="4"/>
    <n v="15000"/>
  </r>
  <r>
    <x v="258"/>
    <x v="0"/>
    <x v="8"/>
    <x v="3"/>
    <n v="20675"/>
  </r>
  <r>
    <x v="258"/>
    <x v="0"/>
    <x v="4"/>
    <x v="0"/>
    <n v="188075"/>
  </r>
  <r>
    <x v="258"/>
    <x v="0"/>
    <x v="4"/>
    <x v="2"/>
    <n v="42497"/>
  </r>
  <r>
    <x v="258"/>
    <x v="1"/>
    <x v="2"/>
    <x v="0"/>
    <n v="99917"/>
  </r>
  <r>
    <x v="258"/>
    <x v="1"/>
    <x v="2"/>
    <x v="2"/>
    <n v="38035"/>
  </r>
  <r>
    <x v="258"/>
    <x v="1"/>
    <x v="2"/>
    <x v="3"/>
    <n v="17844"/>
  </r>
  <r>
    <x v="258"/>
    <x v="2"/>
    <x v="0"/>
    <x v="0"/>
    <n v="50673"/>
  </r>
  <r>
    <x v="258"/>
    <x v="2"/>
    <x v="0"/>
    <x v="2"/>
    <n v="15545"/>
  </r>
  <r>
    <x v="258"/>
    <x v="2"/>
    <x v="2"/>
    <x v="0"/>
    <n v="431163"/>
  </r>
  <r>
    <x v="258"/>
    <x v="2"/>
    <x v="2"/>
    <x v="1"/>
    <n v="681862"/>
  </r>
  <r>
    <x v="258"/>
    <x v="2"/>
    <x v="2"/>
    <x v="2"/>
    <n v="586701"/>
  </r>
  <r>
    <x v="258"/>
    <x v="2"/>
    <x v="2"/>
    <x v="3"/>
    <n v="187"/>
  </r>
  <r>
    <x v="258"/>
    <x v="2"/>
    <x v="3"/>
    <x v="0"/>
    <n v="8491"/>
  </r>
  <r>
    <x v="258"/>
    <x v="2"/>
    <x v="3"/>
    <x v="2"/>
    <n v="1914"/>
  </r>
  <r>
    <x v="259"/>
    <x v="0"/>
    <x v="0"/>
    <x v="0"/>
    <n v="224642"/>
  </r>
  <r>
    <x v="259"/>
    <x v="0"/>
    <x v="0"/>
    <x v="1"/>
    <n v="164050"/>
  </r>
  <r>
    <x v="259"/>
    <x v="0"/>
    <x v="0"/>
    <x v="2"/>
    <n v="148899"/>
  </r>
  <r>
    <x v="259"/>
    <x v="0"/>
    <x v="0"/>
    <x v="3"/>
    <n v="4500"/>
  </r>
  <r>
    <x v="259"/>
    <x v="0"/>
    <x v="0"/>
    <x v="4"/>
    <n v="1350"/>
  </r>
  <r>
    <x v="259"/>
    <x v="0"/>
    <x v="0"/>
    <x v="6"/>
    <n v="1620"/>
  </r>
  <r>
    <x v="259"/>
    <x v="0"/>
    <x v="7"/>
    <x v="1"/>
    <n v="133540"/>
  </r>
  <r>
    <x v="259"/>
    <x v="0"/>
    <x v="7"/>
    <x v="2"/>
    <n v="127025"/>
  </r>
  <r>
    <x v="259"/>
    <x v="0"/>
    <x v="1"/>
    <x v="0"/>
    <n v="1092697"/>
  </r>
  <r>
    <x v="259"/>
    <x v="0"/>
    <x v="1"/>
    <x v="1"/>
    <n v="506428"/>
  </r>
  <r>
    <x v="259"/>
    <x v="0"/>
    <x v="1"/>
    <x v="2"/>
    <n v="639264"/>
  </r>
  <r>
    <x v="259"/>
    <x v="0"/>
    <x v="1"/>
    <x v="3"/>
    <n v="22500"/>
  </r>
  <r>
    <x v="259"/>
    <x v="0"/>
    <x v="1"/>
    <x v="4"/>
    <n v="200000"/>
  </r>
  <r>
    <x v="259"/>
    <x v="0"/>
    <x v="2"/>
    <x v="0"/>
    <n v="4058485"/>
  </r>
  <r>
    <x v="259"/>
    <x v="0"/>
    <x v="2"/>
    <x v="1"/>
    <n v="1007833"/>
  </r>
  <r>
    <x v="259"/>
    <x v="0"/>
    <x v="2"/>
    <x v="2"/>
    <n v="1895861"/>
  </r>
  <r>
    <x v="259"/>
    <x v="0"/>
    <x v="2"/>
    <x v="3"/>
    <n v="135000"/>
  </r>
  <r>
    <x v="259"/>
    <x v="0"/>
    <x v="2"/>
    <x v="4"/>
    <n v="45000"/>
  </r>
  <r>
    <x v="259"/>
    <x v="0"/>
    <x v="2"/>
    <x v="6"/>
    <n v="1800"/>
  </r>
  <r>
    <x v="259"/>
    <x v="0"/>
    <x v="3"/>
    <x v="0"/>
    <n v="209723"/>
  </r>
  <r>
    <x v="259"/>
    <x v="0"/>
    <x v="3"/>
    <x v="2"/>
    <n v="47189"/>
  </r>
  <r>
    <x v="259"/>
    <x v="0"/>
    <x v="3"/>
    <x v="4"/>
    <n v="7200"/>
  </r>
  <r>
    <x v="259"/>
    <x v="0"/>
    <x v="3"/>
    <x v="6"/>
    <n v="1800"/>
  </r>
  <r>
    <x v="259"/>
    <x v="0"/>
    <x v="4"/>
    <x v="0"/>
    <n v="22820"/>
  </r>
  <r>
    <x v="259"/>
    <x v="0"/>
    <x v="4"/>
    <x v="2"/>
    <n v="5135"/>
  </r>
  <r>
    <x v="259"/>
    <x v="2"/>
    <x v="0"/>
    <x v="1"/>
    <n v="56602"/>
  </r>
  <r>
    <x v="259"/>
    <x v="2"/>
    <x v="0"/>
    <x v="2"/>
    <n v="23906"/>
  </r>
  <r>
    <x v="259"/>
    <x v="2"/>
    <x v="2"/>
    <x v="1"/>
    <n v="854310"/>
  </r>
  <r>
    <x v="259"/>
    <x v="2"/>
    <x v="2"/>
    <x v="2"/>
    <n v="522441"/>
  </r>
  <r>
    <x v="260"/>
    <x v="0"/>
    <x v="0"/>
    <x v="0"/>
    <n v="10511"/>
  </r>
  <r>
    <x v="260"/>
    <x v="0"/>
    <x v="0"/>
    <x v="2"/>
    <n v="5917"/>
  </r>
  <r>
    <x v="260"/>
    <x v="0"/>
    <x v="7"/>
    <x v="1"/>
    <n v="282548"/>
  </r>
  <r>
    <x v="260"/>
    <x v="0"/>
    <x v="7"/>
    <x v="2"/>
    <n v="157122"/>
  </r>
  <r>
    <x v="260"/>
    <x v="0"/>
    <x v="1"/>
    <x v="0"/>
    <n v="12819441"/>
  </r>
  <r>
    <x v="260"/>
    <x v="0"/>
    <x v="1"/>
    <x v="1"/>
    <n v="396155"/>
  </r>
  <r>
    <x v="260"/>
    <x v="0"/>
    <x v="1"/>
    <x v="2"/>
    <n v="4466328"/>
  </r>
  <r>
    <x v="260"/>
    <x v="0"/>
    <x v="2"/>
    <x v="0"/>
    <n v="15422828"/>
  </r>
  <r>
    <x v="260"/>
    <x v="0"/>
    <x v="2"/>
    <x v="1"/>
    <n v="8552731"/>
  </r>
  <r>
    <x v="260"/>
    <x v="0"/>
    <x v="2"/>
    <x v="2"/>
    <n v="9872531"/>
  </r>
  <r>
    <x v="260"/>
    <x v="0"/>
    <x v="2"/>
    <x v="3"/>
    <n v="145448"/>
  </r>
  <r>
    <x v="260"/>
    <x v="0"/>
    <x v="2"/>
    <x v="4"/>
    <n v="2111495"/>
  </r>
  <r>
    <x v="260"/>
    <x v="0"/>
    <x v="3"/>
    <x v="0"/>
    <n v="1020"/>
  </r>
  <r>
    <x v="260"/>
    <x v="0"/>
    <x v="3"/>
    <x v="1"/>
    <n v="224446"/>
  </r>
  <r>
    <x v="260"/>
    <x v="0"/>
    <x v="3"/>
    <x v="2"/>
    <n v="43753"/>
  </r>
  <r>
    <x v="260"/>
    <x v="0"/>
    <x v="4"/>
    <x v="0"/>
    <n v="353618"/>
  </r>
  <r>
    <x v="260"/>
    <x v="0"/>
    <x v="4"/>
    <x v="2"/>
    <n v="81748"/>
  </r>
  <r>
    <x v="260"/>
    <x v="1"/>
    <x v="1"/>
    <x v="0"/>
    <n v="162040"/>
  </r>
  <r>
    <x v="260"/>
    <x v="1"/>
    <x v="1"/>
    <x v="2"/>
    <n v="61511"/>
  </r>
  <r>
    <x v="260"/>
    <x v="1"/>
    <x v="2"/>
    <x v="0"/>
    <n v="793416"/>
  </r>
  <r>
    <x v="260"/>
    <x v="1"/>
    <x v="2"/>
    <x v="2"/>
    <n v="200120"/>
  </r>
  <r>
    <x v="260"/>
    <x v="1"/>
    <x v="3"/>
    <x v="0"/>
    <n v="11832"/>
  </r>
  <r>
    <x v="260"/>
    <x v="1"/>
    <x v="3"/>
    <x v="2"/>
    <n v="2727"/>
  </r>
  <r>
    <x v="260"/>
    <x v="2"/>
    <x v="2"/>
    <x v="0"/>
    <n v="4899981"/>
  </r>
  <r>
    <x v="260"/>
    <x v="2"/>
    <x v="2"/>
    <x v="1"/>
    <n v="762658"/>
  </r>
  <r>
    <x v="260"/>
    <x v="2"/>
    <x v="2"/>
    <x v="2"/>
    <n v="2161653"/>
  </r>
  <r>
    <x v="260"/>
    <x v="2"/>
    <x v="2"/>
    <x v="4"/>
    <n v="69012"/>
  </r>
  <r>
    <x v="260"/>
    <x v="2"/>
    <x v="3"/>
    <x v="0"/>
    <n v="61674"/>
  </r>
  <r>
    <x v="260"/>
    <x v="2"/>
    <x v="3"/>
    <x v="1"/>
    <n v="19960"/>
  </r>
  <r>
    <x v="260"/>
    <x v="2"/>
    <x v="3"/>
    <x v="2"/>
    <n v="18160"/>
  </r>
  <r>
    <x v="261"/>
    <x v="0"/>
    <x v="1"/>
    <x v="4"/>
    <n v="68645"/>
  </r>
  <r>
    <x v="261"/>
    <x v="0"/>
    <x v="2"/>
    <x v="0"/>
    <n v="157612"/>
  </r>
  <r>
    <x v="261"/>
    <x v="0"/>
    <x v="2"/>
    <x v="2"/>
    <n v="62743"/>
  </r>
  <r>
    <x v="261"/>
    <x v="0"/>
    <x v="2"/>
    <x v="3"/>
    <n v="2800"/>
  </r>
  <r>
    <x v="261"/>
    <x v="0"/>
    <x v="2"/>
    <x v="4"/>
    <n v="7400"/>
  </r>
  <r>
    <x v="261"/>
    <x v="0"/>
    <x v="2"/>
    <x v="6"/>
    <n v="500"/>
  </r>
  <r>
    <x v="261"/>
    <x v="0"/>
    <x v="3"/>
    <x v="4"/>
    <n v="300"/>
  </r>
  <r>
    <x v="261"/>
    <x v="2"/>
    <x v="1"/>
    <x v="4"/>
    <n v="44750"/>
  </r>
  <r>
    <x v="261"/>
    <x v="3"/>
    <x v="2"/>
    <x v="1"/>
    <n v="28224"/>
  </r>
  <r>
    <x v="261"/>
    <x v="3"/>
    <x v="2"/>
    <x v="2"/>
    <n v="21776"/>
  </r>
  <r>
    <x v="262"/>
    <x v="0"/>
    <x v="0"/>
    <x v="0"/>
    <n v="303447"/>
  </r>
  <r>
    <x v="262"/>
    <x v="0"/>
    <x v="0"/>
    <x v="1"/>
    <n v="172153"/>
  </r>
  <r>
    <x v="262"/>
    <x v="0"/>
    <x v="0"/>
    <x v="2"/>
    <n v="168027"/>
  </r>
  <r>
    <x v="262"/>
    <x v="0"/>
    <x v="0"/>
    <x v="3"/>
    <n v="17000"/>
  </r>
  <r>
    <x v="262"/>
    <x v="0"/>
    <x v="0"/>
    <x v="4"/>
    <n v="26250"/>
  </r>
  <r>
    <x v="262"/>
    <x v="0"/>
    <x v="0"/>
    <x v="6"/>
    <n v="8400"/>
  </r>
  <r>
    <x v="262"/>
    <x v="0"/>
    <x v="1"/>
    <x v="0"/>
    <n v="2541181"/>
  </r>
  <r>
    <x v="262"/>
    <x v="0"/>
    <x v="1"/>
    <x v="1"/>
    <n v="125868"/>
  </r>
  <r>
    <x v="262"/>
    <x v="0"/>
    <x v="1"/>
    <x v="2"/>
    <n v="979687"/>
  </r>
  <r>
    <x v="262"/>
    <x v="0"/>
    <x v="1"/>
    <x v="3"/>
    <n v="17400"/>
  </r>
  <r>
    <x v="262"/>
    <x v="0"/>
    <x v="1"/>
    <x v="4"/>
    <n v="851372"/>
  </r>
  <r>
    <x v="262"/>
    <x v="0"/>
    <x v="2"/>
    <x v="5"/>
    <n v="1365"/>
  </r>
  <r>
    <x v="262"/>
    <x v="0"/>
    <x v="2"/>
    <x v="0"/>
    <n v="5212136"/>
  </r>
  <r>
    <x v="262"/>
    <x v="0"/>
    <x v="2"/>
    <x v="1"/>
    <n v="5176284"/>
  </r>
  <r>
    <x v="262"/>
    <x v="0"/>
    <x v="2"/>
    <x v="2"/>
    <n v="4867818"/>
  </r>
  <r>
    <x v="262"/>
    <x v="0"/>
    <x v="2"/>
    <x v="3"/>
    <n v="76700"/>
  </r>
  <r>
    <x v="262"/>
    <x v="0"/>
    <x v="2"/>
    <x v="4"/>
    <n v="2015906"/>
  </r>
  <r>
    <x v="262"/>
    <x v="0"/>
    <x v="2"/>
    <x v="6"/>
    <n v="1150"/>
  </r>
  <r>
    <x v="262"/>
    <x v="0"/>
    <x v="11"/>
    <x v="4"/>
    <n v="2500"/>
  </r>
  <r>
    <x v="262"/>
    <x v="0"/>
    <x v="5"/>
    <x v="4"/>
    <n v="45000"/>
  </r>
  <r>
    <x v="262"/>
    <x v="0"/>
    <x v="8"/>
    <x v="0"/>
    <n v="40000"/>
  </r>
  <r>
    <x v="262"/>
    <x v="0"/>
    <x v="8"/>
    <x v="2"/>
    <n v="9200"/>
  </r>
  <r>
    <x v="262"/>
    <x v="0"/>
    <x v="8"/>
    <x v="3"/>
    <n v="45750"/>
  </r>
  <r>
    <x v="262"/>
    <x v="0"/>
    <x v="8"/>
    <x v="4"/>
    <n v="10000"/>
  </r>
  <r>
    <x v="262"/>
    <x v="1"/>
    <x v="2"/>
    <x v="1"/>
    <n v="17399"/>
  </r>
  <r>
    <x v="262"/>
    <x v="1"/>
    <x v="2"/>
    <x v="2"/>
    <n v="1612"/>
  </r>
  <r>
    <x v="262"/>
    <x v="2"/>
    <x v="0"/>
    <x v="4"/>
    <n v="15000"/>
  </r>
  <r>
    <x v="262"/>
    <x v="2"/>
    <x v="1"/>
    <x v="0"/>
    <n v="100737"/>
  </r>
  <r>
    <x v="262"/>
    <x v="2"/>
    <x v="1"/>
    <x v="2"/>
    <n v="33306"/>
  </r>
  <r>
    <x v="262"/>
    <x v="2"/>
    <x v="1"/>
    <x v="4"/>
    <n v="46310"/>
  </r>
  <r>
    <x v="262"/>
    <x v="2"/>
    <x v="2"/>
    <x v="0"/>
    <n v="378833"/>
  </r>
  <r>
    <x v="262"/>
    <x v="2"/>
    <x v="2"/>
    <x v="1"/>
    <n v="124856"/>
  </r>
  <r>
    <x v="262"/>
    <x v="2"/>
    <x v="2"/>
    <x v="2"/>
    <n v="209112"/>
  </r>
  <r>
    <x v="262"/>
    <x v="2"/>
    <x v="2"/>
    <x v="4"/>
    <n v="1600342"/>
  </r>
  <r>
    <x v="263"/>
    <x v="0"/>
    <x v="0"/>
    <x v="0"/>
    <n v="5000"/>
  </r>
  <r>
    <x v="263"/>
    <x v="0"/>
    <x v="0"/>
    <x v="2"/>
    <n v="2429"/>
  </r>
  <r>
    <x v="263"/>
    <x v="0"/>
    <x v="1"/>
    <x v="4"/>
    <n v="40000"/>
  </r>
  <r>
    <x v="263"/>
    <x v="0"/>
    <x v="2"/>
    <x v="0"/>
    <n v="91482"/>
  </r>
  <r>
    <x v="263"/>
    <x v="0"/>
    <x v="2"/>
    <x v="1"/>
    <n v="91081"/>
  </r>
  <r>
    <x v="263"/>
    <x v="0"/>
    <x v="2"/>
    <x v="2"/>
    <n v="87753"/>
  </r>
  <r>
    <x v="263"/>
    <x v="0"/>
    <x v="2"/>
    <x v="3"/>
    <n v="600"/>
  </r>
  <r>
    <x v="263"/>
    <x v="0"/>
    <x v="2"/>
    <x v="4"/>
    <n v="500"/>
  </r>
  <r>
    <x v="263"/>
    <x v="0"/>
    <x v="3"/>
    <x v="4"/>
    <n v="300"/>
  </r>
  <r>
    <x v="263"/>
    <x v="2"/>
    <x v="1"/>
    <x v="4"/>
    <n v="41456"/>
  </r>
  <r>
    <x v="264"/>
    <x v="0"/>
    <x v="0"/>
    <x v="0"/>
    <n v="56610"/>
  </r>
  <r>
    <x v="264"/>
    <x v="0"/>
    <x v="0"/>
    <x v="1"/>
    <n v="33311"/>
  </r>
  <r>
    <x v="264"/>
    <x v="0"/>
    <x v="0"/>
    <x v="2"/>
    <n v="29779"/>
  </r>
  <r>
    <x v="264"/>
    <x v="0"/>
    <x v="0"/>
    <x v="3"/>
    <n v="4500"/>
  </r>
  <r>
    <x v="264"/>
    <x v="0"/>
    <x v="0"/>
    <x v="4"/>
    <n v="1000"/>
  </r>
  <r>
    <x v="264"/>
    <x v="0"/>
    <x v="0"/>
    <x v="6"/>
    <n v="500"/>
  </r>
  <r>
    <x v="264"/>
    <x v="0"/>
    <x v="1"/>
    <x v="0"/>
    <n v="57454"/>
  </r>
  <r>
    <x v="264"/>
    <x v="0"/>
    <x v="1"/>
    <x v="1"/>
    <n v="118659"/>
  </r>
  <r>
    <x v="264"/>
    <x v="0"/>
    <x v="1"/>
    <x v="2"/>
    <n v="67272"/>
  </r>
  <r>
    <x v="264"/>
    <x v="0"/>
    <x v="1"/>
    <x v="4"/>
    <n v="337500"/>
  </r>
  <r>
    <x v="264"/>
    <x v="0"/>
    <x v="2"/>
    <x v="0"/>
    <n v="720343"/>
  </r>
  <r>
    <x v="264"/>
    <x v="0"/>
    <x v="2"/>
    <x v="1"/>
    <n v="352114"/>
  </r>
  <r>
    <x v="264"/>
    <x v="0"/>
    <x v="2"/>
    <x v="2"/>
    <n v="497241"/>
  </r>
  <r>
    <x v="264"/>
    <x v="0"/>
    <x v="2"/>
    <x v="4"/>
    <n v="25000"/>
  </r>
  <r>
    <x v="264"/>
    <x v="0"/>
    <x v="3"/>
    <x v="4"/>
    <n v="5500"/>
  </r>
  <r>
    <x v="264"/>
    <x v="0"/>
    <x v="3"/>
    <x v="6"/>
    <n v="3500"/>
  </r>
  <r>
    <x v="264"/>
    <x v="0"/>
    <x v="8"/>
    <x v="3"/>
    <n v="10000"/>
  </r>
  <r>
    <x v="264"/>
    <x v="0"/>
    <x v="8"/>
    <x v="4"/>
    <n v="10000"/>
  </r>
  <r>
    <x v="264"/>
    <x v="0"/>
    <x v="4"/>
    <x v="0"/>
    <n v="11686"/>
  </r>
  <r>
    <x v="264"/>
    <x v="0"/>
    <x v="4"/>
    <x v="2"/>
    <n v="2679"/>
  </r>
  <r>
    <x v="264"/>
    <x v="2"/>
    <x v="0"/>
    <x v="3"/>
    <n v="352"/>
  </r>
  <r>
    <x v="264"/>
    <x v="2"/>
    <x v="1"/>
    <x v="3"/>
    <n v="500"/>
  </r>
  <r>
    <x v="264"/>
    <x v="2"/>
    <x v="1"/>
    <x v="4"/>
    <n v="500"/>
  </r>
  <r>
    <x v="264"/>
    <x v="2"/>
    <x v="2"/>
    <x v="0"/>
    <n v="26658"/>
  </r>
  <r>
    <x v="264"/>
    <x v="2"/>
    <x v="2"/>
    <x v="1"/>
    <n v="145768"/>
  </r>
  <r>
    <x v="264"/>
    <x v="2"/>
    <x v="2"/>
    <x v="2"/>
    <n v="102701"/>
  </r>
  <r>
    <x v="264"/>
    <x v="2"/>
    <x v="2"/>
    <x v="3"/>
    <n v="614"/>
  </r>
  <r>
    <x v="264"/>
    <x v="2"/>
    <x v="3"/>
    <x v="6"/>
    <n v="250"/>
  </r>
  <r>
    <x v="264"/>
    <x v="2"/>
    <x v="8"/>
    <x v="3"/>
    <n v="6978"/>
  </r>
  <r>
    <x v="264"/>
    <x v="2"/>
    <x v="8"/>
    <x v="4"/>
    <n v="6000"/>
  </r>
  <r>
    <x v="265"/>
    <x v="0"/>
    <x v="10"/>
    <x v="0"/>
    <n v="40727"/>
  </r>
  <r>
    <x v="265"/>
    <x v="0"/>
    <x v="10"/>
    <x v="2"/>
    <n v="15542"/>
  </r>
  <r>
    <x v="265"/>
    <x v="0"/>
    <x v="1"/>
    <x v="3"/>
    <n v="2000"/>
  </r>
  <r>
    <x v="265"/>
    <x v="0"/>
    <x v="1"/>
    <x v="4"/>
    <n v="90000"/>
  </r>
  <r>
    <x v="265"/>
    <x v="0"/>
    <x v="2"/>
    <x v="0"/>
    <n v="92783"/>
  </r>
  <r>
    <x v="265"/>
    <x v="0"/>
    <x v="2"/>
    <x v="1"/>
    <n v="76188"/>
  </r>
  <r>
    <x v="265"/>
    <x v="0"/>
    <x v="2"/>
    <x v="2"/>
    <n v="78018"/>
  </r>
  <r>
    <x v="265"/>
    <x v="0"/>
    <x v="2"/>
    <x v="3"/>
    <n v="6250"/>
  </r>
  <r>
    <x v="265"/>
    <x v="0"/>
    <x v="2"/>
    <x v="4"/>
    <n v="3500"/>
  </r>
  <r>
    <x v="265"/>
    <x v="0"/>
    <x v="2"/>
    <x v="6"/>
    <n v="2000"/>
  </r>
  <r>
    <x v="265"/>
    <x v="2"/>
    <x v="2"/>
    <x v="1"/>
    <n v="43978"/>
  </r>
  <r>
    <x v="265"/>
    <x v="2"/>
    <x v="2"/>
    <x v="2"/>
    <n v="35694"/>
  </r>
  <r>
    <x v="266"/>
    <x v="0"/>
    <x v="0"/>
    <x v="0"/>
    <n v="48"/>
  </r>
  <r>
    <x v="266"/>
    <x v="0"/>
    <x v="0"/>
    <x v="2"/>
    <n v="11"/>
  </r>
  <r>
    <x v="266"/>
    <x v="0"/>
    <x v="1"/>
    <x v="4"/>
    <n v="250000"/>
  </r>
  <r>
    <x v="266"/>
    <x v="0"/>
    <x v="2"/>
    <x v="0"/>
    <n v="553576"/>
  </r>
  <r>
    <x v="266"/>
    <x v="0"/>
    <x v="2"/>
    <x v="1"/>
    <n v="612639"/>
  </r>
  <r>
    <x v="266"/>
    <x v="0"/>
    <x v="2"/>
    <x v="2"/>
    <n v="606213"/>
  </r>
  <r>
    <x v="266"/>
    <x v="0"/>
    <x v="2"/>
    <x v="3"/>
    <n v="12494"/>
  </r>
  <r>
    <x v="266"/>
    <x v="0"/>
    <x v="2"/>
    <x v="4"/>
    <n v="30418"/>
  </r>
  <r>
    <x v="266"/>
    <x v="0"/>
    <x v="3"/>
    <x v="4"/>
    <n v="1050"/>
  </r>
  <r>
    <x v="266"/>
    <x v="0"/>
    <x v="6"/>
    <x v="3"/>
    <n v="500"/>
  </r>
  <r>
    <x v="266"/>
    <x v="0"/>
    <x v="8"/>
    <x v="3"/>
    <n v="2000"/>
  </r>
  <r>
    <x v="266"/>
    <x v="0"/>
    <x v="8"/>
    <x v="4"/>
    <n v="1500"/>
  </r>
  <r>
    <x v="266"/>
    <x v="0"/>
    <x v="4"/>
    <x v="4"/>
    <n v="9082"/>
  </r>
  <r>
    <x v="266"/>
    <x v="2"/>
    <x v="1"/>
    <x v="4"/>
    <n v="260329"/>
  </r>
  <r>
    <x v="267"/>
    <x v="0"/>
    <x v="0"/>
    <x v="0"/>
    <n v="67801"/>
  </r>
  <r>
    <x v="267"/>
    <x v="0"/>
    <x v="0"/>
    <x v="1"/>
    <n v="47694"/>
  </r>
  <r>
    <x v="267"/>
    <x v="0"/>
    <x v="0"/>
    <x v="2"/>
    <n v="41109"/>
  </r>
  <r>
    <x v="267"/>
    <x v="0"/>
    <x v="0"/>
    <x v="3"/>
    <n v="3000"/>
  </r>
  <r>
    <x v="267"/>
    <x v="0"/>
    <x v="0"/>
    <x v="4"/>
    <n v="4000"/>
  </r>
  <r>
    <x v="267"/>
    <x v="0"/>
    <x v="0"/>
    <x v="6"/>
    <n v="1500"/>
  </r>
  <r>
    <x v="267"/>
    <x v="0"/>
    <x v="1"/>
    <x v="1"/>
    <n v="69251"/>
  </r>
  <r>
    <x v="267"/>
    <x v="0"/>
    <x v="1"/>
    <x v="2"/>
    <n v="19269"/>
  </r>
  <r>
    <x v="267"/>
    <x v="0"/>
    <x v="1"/>
    <x v="3"/>
    <n v="500"/>
  </r>
  <r>
    <x v="267"/>
    <x v="0"/>
    <x v="1"/>
    <x v="4"/>
    <n v="500"/>
  </r>
  <r>
    <x v="267"/>
    <x v="0"/>
    <x v="1"/>
    <x v="6"/>
    <n v="100"/>
  </r>
  <r>
    <x v="267"/>
    <x v="0"/>
    <x v="2"/>
    <x v="0"/>
    <n v="223399"/>
  </r>
  <r>
    <x v="267"/>
    <x v="0"/>
    <x v="2"/>
    <x v="1"/>
    <n v="288597"/>
  </r>
  <r>
    <x v="267"/>
    <x v="0"/>
    <x v="2"/>
    <x v="2"/>
    <n v="297600"/>
  </r>
  <r>
    <x v="267"/>
    <x v="0"/>
    <x v="2"/>
    <x v="3"/>
    <n v="30743"/>
  </r>
  <r>
    <x v="267"/>
    <x v="0"/>
    <x v="2"/>
    <x v="4"/>
    <n v="164775"/>
  </r>
  <r>
    <x v="267"/>
    <x v="0"/>
    <x v="2"/>
    <x v="6"/>
    <n v="1000"/>
  </r>
  <r>
    <x v="267"/>
    <x v="0"/>
    <x v="3"/>
    <x v="4"/>
    <n v="19437"/>
  </r>
  <r>
    <x v="267"/>
    <x v="0"/>
    <x v="3"/>
    <x v="6"/>
    <n v="3500"/>
  </r>
  <r>
    <x v="267"/>
    <x v="0"/>
    <x v="6"/>
    <x v="3"/>
    <n v="17500"/>
  </r>
  <r>
    <x v="267"/>
    <x v="0"/>
    <x v="6"/>
    <x v="4"/>
    <n v="2400"/>
  </r>
  <r>
    <x v="267"/>
    <x v="0"/>
    <x v="4"/>
    <x v="0"/>
    <n v="3360"/>
  </r>
  <r>
    <x v="267"/>
    <x v="0"/>
    <x v="4"/>
    <x v="2"/>
    <n v="688"/>
  </r>
  <r>
    <x v="267"/>
    <x v="1"/>
    <x v="2"/>
    <x v="0"/>
    <n v="34559"/>
  </r>
  <r>
    <x v="267"/>
    <x v="1"/>
    <x v="2"/>
    <x v="2"/>
    <n v="18872"/>
  </r>
  <r>
    <x v="267"/>
    <x v="1"/>
    <x v="2"/>
    <x v="3"/>
    <n v="1478"/>
  </r>
  <r>
    <x v="267"/>
    <x v="1"/>
    <x v="3"/>
    <x v="0"/>
    <n v="563"/>
  </r>
  <r>
    <x v="267"/>
    <x v="1"/>
    <x v="3"/>
    <x v="2"/>
    <n v="137"/>
  </r>
  <r>
    <x v="267"/>
    <x v="2"/>
    <x v="2"/>
    <x v="0"/>
    <n v="153661"/>
  </r>
  <r>
    <x v="267"/>
    <x v="2"/>
    <x v="2"/>
    <x v="1"/>
    <n v="9735"/>
  </r>
  <r>
    <x v="267"/>
    <x v="2"/>
    <x v="2"/>
    <x v="2"/>
    <n v="71111"/>
  </r>
  <r>
    <x v="267"/>
    <x v="2"/>
    <x v="2"/>
    <x v="3"/>
    <n v="1847"/>
  </r>
  <r>
    <x v="267"/>
    <x v="2"/>
    <x v="3"/>
    <x v="0"/>
    <n v="2395"/>
  </r>
  <r>
    <x v="267"/>
    <x v="2"/>
    <x v="3"/>
    <x v="2"/>
    <n v="593"/>
  </r>
  <r>
    <x v="268"/>
    <x v="0"/>
    <x v="0"/>
    <x v="0"/>
    <n v="328642"/>
  </r>
  <r>
    <x v="268"/>
    <x v="0"/>
    <x v="0"/>
    <x v="1"/>
    <n v="156193"/>
  </r>
  <r>
    <x v="268"/>
    <x v="0"/>
    <x v="0"/>
    <x v="2"/>
    <n v="159204"/>
  </r>
  <r>
    <x v="268"/>
    <x v="0"/>
    <x v="0"/>
    <x v="3"/>
    <n v="10000"/>
  </r>
  <r>
    <x v="268"/>
    <x v="0"/>
    <x v="1"/>
    <x v="0"/>
    <n v="673683"/>
  </r>
  <r>
    <x v="268"/>
    <x v="0"/>
    <x v="1"/>
    <x v="1"/>
    <n v="31812"/>
  </r>
  <r>
    <x v="268"/>
    <x v="0"/>
    <x v="1"/>
    <x v="2"/>
    <n v="270440"/>
  </r>
  <r>
    <x v="268"/>
    <x v="0"/>
    <x v="1"/>
    <x v="3"/>
    <n v="11000"/>
  </r>
  <r>
    <x v="268"/>
    <x v="0"/>
    <x v="1"/>
    <x v="4"/>
    <n v="226310"/>
  </r>
  <r>
    <x v="268"/>
    <x v="0"/>
    <x v="2"/>
    <x v="5"/>
    <n v="7000"/>
  </r>
  <r>
    <x v="268"/>
    <x v="0"/>
    <x v="2"/>
    <x v="0"/>
    <n v="1512408"/>
  </r>
  <r>
    <x v="268"/>
    <x v="0"/>
    <x v="2"/>
    <x v="1"/>
    <n v="519212"/>
  </r>
  <r>
    <x v="268"/>
    <x v="0"/>
    <x v="2"/>
    <x v="2"/>
    <n v="740810"/>
  </r>
  <r>
    <x v="268"/>
    <x v="0"/>
    <x v="2"/>
    <x v="3"/>
    <n v="21500"/>
  </r>
  <r>
    <x v="268"/>
    <x v="0"/>
    <x v="2"/>
    <x v="4"/>
    <n v="72200"/>
  </r>
  <r>
    <x v="268"/>
    <x v="0"/>
    <x v="3"/>
    <x v="4"/>
    <n v="8000"/>
  </r>
  <r>
    <x v="268"/>
    <x v="2"/>
    <x v="2"/>
    <x v="1"/>
    <n v="702628"/>
  </r>
  <r>
    <x v="268"/>
    <x v="2"/>
    <x v="2"/>
    <x v="2"/>
    <n v="429965"/>
  </r>
  <r>
    <x v="268"/>
    <x v="2"/>
    <x v="2"/>
    <x v="3"/>
    <n v="78899"/>
  </r>
  <r>
    <x v="268"/>
    <x v="3"/>
    <x v="7"/>
    <x v="1"/>
    <n v="43000"/>
  </r>
  <r>
    <x v="268"/>
    <x v="3"/>
    <x v="2"/>
    <x v="3"/>
    <n v="70153"/>
  </r>
  <r>
    <x v="269"/>
    <x v="0"/>
    <x v="0"/>
    <x v="0"/>
    <n v="28662"/>
  </r>
  <r>
    <x v="269"/>
    <x v="0"/>
    <x v="0"/>
    <x v="2"/>
    <n v="9545"/>
  </r>
  <r>
    <x v="269"/>
    <x v="0"/>
    <x v="2"/>
    <x v="0"/>
    <n v="113583"/>
  </r>
  <r>
    <x v="269"/>
    <x v="0"/>
    <x v="2"/>
    <x v="1"/>
    <n v="67336"/>
  </r>
  <r>
    <x v="269"/>
    <x v="0"/>
    <x v="2"/>
    <x v="2"/>
    <n v="93222"/>
  </r>
  <r>
    <x v="269"/>
    <x v="0"/>
    <x v="2"/>
    <x v="3"/>
    <n v="3000"/>
  </r>
  <r>
    <x v="269"/>
    <x v="0"/>
    <x v="2"/>
    <x v="4"/>
    <n v="41000"/>
  </r>
  <r>
    <x v="269"/>
    <x v="2"/>
    <x v="1"/>
    <x v="4"/>
    <n v="37000"/>
  </r>
  <r>
    <x v="270"/>
    <x v="0"/>
    <x v="5"/>
    <x v="4"/>
    <n v="1025573"/>
  </r>
  <r>
    <x v="271"/>
    <x v="0"/>
    <x v="5"/>
    <x v="4"/>
    <n v="217751"/>
  </r>
  <r>
    <x v="272"/>
    <x v="0"/>
    <x v="0"/>
    <x v="0"/>
    <n v="137541"/>
  </r>
  <r>
    <x v="272"/>
    <x v="0"/>
    <x v="0"/>
    <x v="1"/>
    <n v="80196"/>
  </r>
  <r>
    <x v="272"/>
    <x v="0"/>
    <x v="0"/>
    <x v="2"/>
    <n v="69824"/>
  </r>
  <r>
    <x v="272"/>
    <x v="0"/>
    <x v="1"/>
    <x v="0"/>
    <n v="1095384"/>
  </r>
  <r>
    <x v="272"/>
    <x v="0"/>
    <x v="1"/>
    <x v="2"/>
    <n v="375074"/>
  </r>
  <r>
    <x v="272"/>
    <x v="0"/>
    <x v="1"/>
    <x v="3"/>
    <n v="12000"/>
  </r>
  <r>
    <x v="272"/>
    <x v="0"/>
    <x v="1"/>
    <x v="4"/>
    <n v="525000"/>
  </r>
  <r>
    <x v="272"/>
    <x v="0"/>
    <x v="2"/>
    <x v="0"/>
    <n v="1454749"/>
  </r>
  <r>
    <x v="272"/>
    <x v="0"/>
    <x v="2"/>
    <x v="1"/>
    <n v="1114442"/>
  </r>
  <r>
    <x v="272"/>
    <x v="0"/>
    <x v="2"/>
    <x v="2"/>
    <n v="1067992"/>
  </r>
  <r>
    <x v="272"/>
    <x v="0"/>
    <x v="2"/>
    <x v="3"/>
    <n v="4500"/>
  </r>
  <r>
    <x v="272"/>
    <x v="0"/>
    <x v="2"/>
    <x v="4"/>
    <n v="390000"/>
  </r>
  <r>
    <x v="272"/>
    <x v="0"/>
    <x v="3"/>
    <x v="4"/>
    <n v="2600"/>
  </r>
  <r>
    <x v="272"/>
    <x v="2"/>
    <x v="1"/>
    <x v="4"/>
    <n v="380000"/>
  </r>
  <r>
    <x v="272"/>
    <x v="2"/>
    <x v="2"/>
    <x v="1"/>
    <n v="23685"/>
  </r>
  <r>
    <x v="272"/>
    <x v="2"/>
    <x v="2"/>
    <x v="2"/>
    <n v="11082"/>
  </r>
  <r>
    <x v="272"/>
    <x v="2"/>
    <x v="2"/>
    <x v="4"/>
    <n v="395000"/>
  </r>
  <r>
    <x v="273"/>
    <x v="0"/>
    <x v="0"/>
    <x v="0"/>
    <n v="163204"/>
  </r>
  <r>
    <x v="273"/>
    <x v="0"/>
    <x v="0"/>
    <x v="1"/>
    <n v="290283"/>
  </r>
  <r>
    <x v="273"/>
    <x v="0"/>
    <x v="0"/>
    <x v="2"/>
    <n v="168743"/>
  </r>
  <r>
    <x v="273"/>
    <x v="0"/>
    <x v="0"/>
    <x v="3"/>
    <n v="17800"/>
  </r>
  <r>
    <x v="273"/>
    <x v="0"/>
    <x v="0"/>
    <x v="4"/>
    <n v="330262"/>
  </r>
  <r>
    <x v="273"/>
    <x v="0"/>
    <x v="0"/>
    <x v="6"/>
    <n v="500"/>
  </r>
  <r>
    <x v="273"/>
    <x v="0"/>
    <x v="7"/>
    <x v="1"/>
    <n v="64721"/>
  </r>
  <r>
    <x v="273"/>
    <x v="0"/>
    <x v="7"/>
    <x v="2"/>
    <n v="38050"/>
  </r>
  <r>
    <x v="273"/>
    <x v="0"/>
    <x v="1"/>
    <x v="0"/>
    <n v="1447906"/>
  </r>
  <r>
    <x v="273"/>
    <x v="0"/>
    <x v="1"/>
    <x v="1"/>
    <n v="10000"/>
  </r>
  <r>
    <x v="273"/>
    <x v="0"/>
    <x v="1"/>
    <x v="2"/>
    <n v="511599"/>
  </r>
  <r>
    <x v="273"/>
    <x v="0"/>
    <x v="1"/>
    <x v="3"/>
    <n v="32500"/>
  </r>
  <r>
    <x v="273"/>
    <x v="0"/>
    <x v="1"/>
    <x v="4"/>
    <n v="530485"/>
  </r>
  <r>
    <x v="273"/>
    <x v="0"/>
    <x v="1"/>
    <x v="6"/>
    <n v="1400"/>
  </r>
  <r>
    <x v="273"/>
    <x v="0"/>
    <x v="2"/>
    <x v="0"/>
    <n v="4043584"/>
  </r>
  <r>
    <x v="273"/>
    <x v="0"/>
    <x v="2"/>
    <x v="1"/>
    <n v="1997502"/>
  </r>
  <r>
    <x v="273"/>
    <x v="0"/>
    <x v="2"/>
    <x v="2"/>
    <n v="2577670"/>
  </r>
  <r>
    <x v="273"/>
    <x v="0"/>
    <x v="2"/>
    <x v="3"/>
    <n v="89025"/>
  </r>
  <r>
    <x v="273"/>
    <x v="0"/>
    <x v="2"/>
    <x v="4"/>
    <n v="2996"/>
  </r>
  <r>
    <x v="273"/>
    <x v="2"/>
    <x v="1"/>
    <x v="0"/>
    <n v="417582"/>
  </r>
  <r>
    <x v="273"/>
    <x v="2"/>
    <x v="1"/>
    <x v="2"/>
    <n v="157356"/>
  </r>
  <r>
    <x v="273"/>
    <x v="2"/>
    <x v="1"/>
    <x v="4"/>
    <n v="456164"/>
  </r>
  <r>
    <x v="273"/>
    <x v="2"/>
    <x v="2"/>
    <x v="0"/>
    <n v="200129"/>
  </r>
  <r>
    <x v="273"/>
    <x v="2"/>
    <x v="2"/>
    <x v="1"/>
    <n v="18262"/>
  </r>
  <r>
    <x v="273"/>
    <x v="2"/>
    <x v="2"/>
    <x v="2"/>
    <n v="72061"/>
  </r>
  <r>
    <x v="274"/>
    <x v="0"/>
    <x v="0"/>
    <x v="0"/>
    <n v="12500"/>
  </r>
  <r>
    <x v="274"/>
    <x v="0"/>
    <x v="0"/>
    <x v="2"/>
    <n v="2813"/>
  </r>
  <r>
    <x v="274"/>
    <x v="0"/>
    <x v="0"/>
    <x v="3"/>
    <n v="250"/>
  </r>
  <r>
    <x v="274"/>
    <x v="0"/>
    <x v="0"/>
    <x v="4"/>
    <n v="500"/>
  </r>
  <r>
    <x v="274"/>
    <x v="0"/>
    <x v="0"/>
    <x v="6"/>
    <n v="100"/>
  </r>
  <r>
    <x v="274"/>
    <x v="0"/>
    <x v="9"/>
    <x v="3"/>
    <n v="3000"/>
  </r>
  <r>
    <x v="274"/>
    <x v="0"/>
    <x v="7"/>
    <x v="3"/>
    <n v="50"/>
  </r>
  <r>
    <x v="274"/>
    <x v="0"/>
    <x v="1"/>
    <x v="1"/>
    <n v="66438"/>
  </r>
  <r>
    <x v="274"/>
    <x v="0"/>
    <x v="1"/>
    <x v="2"/>
    <n v="29917"/>
  </r>
  <r>
    <x v="274"/>
    <x v="0"/>
    <x v="1"/>
    <x v="3"/>
    <n v="2700"/>
  </r>
  <r>
    <x v="274"/>
    <x v="0"/>
    <x v="1"/>
    <x v="4"/>
    <n v="29831"/>
  </r>
  <r>
    <x v="274"/>
    <x v="0"/>
    <x v="1"/>
    <x v="6"/>
    <n v="600"/>
  </r>
  <r>
    <x v="274"/>
    <x v="0"/>
    <x v="2"/>
    <x v="0"/>
    <n v="274715"/>
  </r>
  <r>
    <x v="274"/>
    <x v="0"/>
    <x v="2"/>
    <x v="1"/>
    <n v="32314"/>
  </r>
  <r>
    <x v="274"/>
    <x v="0"/>
    <x v="2"/>
    <x v="2"/>
    <n v="113759"/>
  </r>
  <r>
    <x v="274"/>
    <x v="0"/>
    <x v="2"/>
    <x v="3"/>
    <n v="15000"/>
  </r>
  <r>
    <x v="274"/>
    <x v="0"/>
    <x v="2"/>
    <x v="4"/>
    <n v="6000"/>
  </r>
  <r>
    <x v="274"/>
    <x v="0"/>
    <x v="2"/>
    <x v="6"/>
    <n v="200"/>
  </r>
  <r>
    <x v="274"/>
    <x v="0"/>
    <x v="3"/>
    <x v="0"/>
    <n v="3544"/>
  </r>
  <r>
    <x v="274"/>
    <x v="0"/>
    <x v="3"/>
    <x v="2"/>
    <n v="5444"/>
  </r>
  <r>
    <x v="274"/>
    <x v="0"/>
    <x v="3"/>
    <x v="4"/>
    <n v="2500"/>
  </r>
  <r>
    <x v="274"/>
    <x v="0"/>
    <x v="3"/>
    <x v="6"/>
    <n v="6825"/>
  </r>
  <r>
    <x v="274"/>
    <x v="0"/>
    <x v="6"/>
    <x v="3"/>
    <n v="12000"/>
  </r>
  <r>
    <x v="274"/>
    <x v="0"/>
    <x v="4"/>
    <x v="0"/>
    <n v="5315"/>
  </r>
  <r>
    <x v="274"/>
    <x v="0"/>
    <x v="4"/>
    <x v="2"/>
    <n v="8166"/>
  </r>
  <r>
    <x v="274"/>
    <x v="2"/>
    <x v="1"/>
    <x v="0"/>
    <n v="50229"/>
  </r>
  <r>
    <x v="274"/>
    <x v="2"/>
    <x v="1"/>
    <x v="1"/>
    <n v="8326"/>
  </r>
  <r>
    <x v="274"/>
    <x v="2"/>
    <x v="1"/>
    <x v="2"/>
    <n v="21503"/>
  </r>
  <r>
    <x v="274"/>
    <x v="2"/>
    <x v="2"/>
    <x v="0"/>
    <n v="8966"/>
  </r>
  <r>
    <x v="274"/>
    <x v="2"/>
    <x v="2"/>
    <x v="1"/>
    <n v="178591"/>
  </r>
  <r>
    <x v="274"/>
    <x v="2"/>
    <x v="2"/>
    <x v="2"/>
    <n v="121311"/>
  </r>
  <r>
    <x v="275"/>
    <x v="0"/>
    <x v="0"/>
    <x v="0"/>
    <n v="418380"/>
  </r>
  <r>
    <x v="275"/>
    <x v="0"/>
    <x v="0"/>
    <x v="1"/>
    <n v="154817"/>
  </r>
  <r>
    <x v="275"/>
    <x v="0"/>
    <x v="0"/>
    <x v="2"/>
    <n v="199495"/>
  </r>
  <r>
    <x v="275"/>
    <x v="0"/>
    <x v="0"/>
    <x v="3"/>
    <n v="5000"/>
  </r>
  <r>
    <x v="275"/>
    <x v="0"/>
    <x v="0"/>
    <x v="4"/>
    <n v="30000"/>
  </r>
  <r>
    <x v="275"/>
    <x v="0"/>
    <x v="9"/>
    <x v="3"/>
    <n v="20000"/>
  </r>
  <r>
    <x v="275"/>
    <x v="0"/>
    <x v="1"/>
    <x v="0"/>
    <n v="1414783"/>
  </r>
  <r>
    <x v="275"/>
    <x v="0"/>
    <x v="1"/>
    <x v="1"/>
    <n v="258849"/>
  </r>
  <r>
    <x v="275"/>
    <x v="0"/>
    <x v="1"/>
    <x v="2"/>
    <n v="630044"/>
  </r>
  <r>
    <x v="275"/>
    <x v="0"/>
    <x v="1"/>
    <x v="3"/>
    <n v="8000"/>
  </r>
  <r>
    <x v="275"/>
    <x v="0"/>
    <x v="1"/>
    <x v="4"/>
    <n v="184000"/>
  </r>
  <r>
    <x v="275"/>
    <x v="0"/>
    <x v="2"/>
    <x v="5"/>
    <n v="25000"/>
  </r>
  <r>
    <x v="275"/>
    <x v="0"/>
    <x v="2"/>
    <x v="0"/>
    <n v="3075411"/>
  </r>
  <r>
    <x v="275"/>
    <x v="0"/>
    <x v="2"/>
    <x v="1"/>
    <n v="2483967"/>
  </r>
  <r>
    <x v="275"/>
    <x v="0"/>
    <x v="2"/>
    <x v="2"/>
    <n v="2523941"/>
  </r>
  <r>
    <x v="275"/>
    <x v="0"/>
    <x v="2"/>
    <x v="3"/>
    <n v="24000"/>
  </r>
  <r>
    <x v="275"/>
    <x v="0"/>
    <x v="2"/>
    <x v="4"/>
    <n v="100000"/>
  </r>
  <r>
    <x v="275"/>
    <x v="0"/>
    <x v="5"/>
    <x v="4"/>
    <n v="30000"/>
  </r>
  <r>
    <x v="275"/>
    <x v="0"/>
    <x v="3"/>
    <x v="0"/>
    <n v="24000"/>
  </r>
  <r>
    <x v="275"/>
    <x v="0"/>
    <x v="3"/>
    <x v="1"/>
    <n v="2000"/>
  </r>
  <r>
    <x v="275"/>
    <x v="0"/>
    <x v="3"/>
    <x v="2"/>
    <n v="5935"/>
  </r>
  <r>
    <x v="275"/>
    <x v="0"/>
    <x v="3"/>
    <x v="4"/>
    <n v="4000"/>
  </r>
  <r>
    <x v="275"/>
    <x v="0"/>
    <x v="8"/>
    <x v="3"/>
    <n v="5000"/>
  </r>
  <r>
    <x v="275"/>
    <x v="0"/>
    <x v="4"/>
    <x v="0"/>
    <n v="62465"/>
  </r>
  <r>
    <x v="275"/>
    <x v="0"/>
    <x v="4"/>
    <x v="2"/>
    <n v="14329"/>
  </r>
  <r>
    <x v="275"/>
    <x v="2"/>
    <x v="1"/>
    <x v="0"/>
    <n v="675237"/>
  </r>
  <r>
    <x v="275"/>
    <x v="2"/>
    <x v="1"/>
    <x v="2"/>
    <n v="229777"/>
  </r>
  <r>
    <x v="275"/>
    <x v="2"/>
    <x v="2"/>
    <x v="0"/>
    <n v="3596"/>
  </r>
  <r>
    <x v="275"/>
    <x v="2"/>
    <x v="2"/>
    <x v="1"/>
    <n v="187278"/>
  </r>
  <r>
    <x v="275"/>
    <x v="2"/>
    <x v="2"/>
    <x v="2"/>
    <n v="106575"/>
  </r>
  <r>
    <x v="275"/>
    <x v="2"/>
    <x v="3"/>
    <x v="0"/>
    <n v="8048"/>
  </r>
  <r>
    <x v="275"/>
    <x v="2"/>
    <x v="3"/>
    <x v="2"/>
    <n v="1846"/>
  </r>
  <r>
    <x v="275"/>
    <x v="3"/>
    <x v="1"/>
    <x v="4"/>
    <n v="10000"/>
  </r>
  <r>
    <x v="276"/>
    <x v="0"/>
    <x v="0"/>
    <x v="1"/>
    <n v="11404"/>
  </r>
  <r>
    <x v="276"/>
    <x v="0"/>
    <x v="0"/>
    <x v="2"/>
    <n v="3804"/>
  </r>
  <r>
    <x v="276"/>
    <x v="0"/>
    <x v="0"/>
    <x v="4"/>
    <n v="2240"/>
  </r>
  <r>
    <x v="276"/>
    <x v="0"/>
    <x v="10"/>
    <x v="1"/>
    <n v="39799"/>
  </r>
  <r>
    <x v="276"/>
    <x v="0"/>
    <x v="10"/>
    <x v="2"/>
    <n v="20724"/>
  </r>
  <r>
    <x v="276"/>
    <x v="0"/>
    <x v="10"/>
    <x v="3"/>
    <n v="1126"/>
  </r>
  <r>
    <x v="276"/>
    <x v="0"/>
    <x v="10"/>
    <x v="4"/>
    <n v="961"/>
  </r>
  <r>
    <x v="276"/>
    <x v="0"/>
    <x v="10"/>
    <x v="6"/>
    <n v="625"/>
  </r>
  <r>
    <x v="276"/>
    <x v="0"/>
    <x v="1"/>
    <x v="0"/>
    <n v="146240"/>
  </r>
  <r>
    <x v="276"/>
    <x v="0"/>
    <x v="1"/>
    <x v="2"/>
    <n v="54689"/>
  </r>
  <r>
    <x v="276"/>
    <x v="0"/>
    <x v="1"/>
    <x v="3"/>
    <n v="7515"/>
  </r>
  <r>
    <x v="276"/>
    <x v="0"/>
    <x v="1"/>
    <x v="4"/>
    <n v="217993"/>
  </r>
  <r>
    <x v="276"/>
    <x v="0"/>
    <x v="1"/>
    <x v="6"/>
    <n v="4000"/>
  </r>
  <r>
    <x v="276"/>
    <x v="0"/>
    <x v="2"/>
    <x v="0"/>
    <n v="329887"/>
  </r>
  <r>
    <x v="276"/>
    <x v="0"/>
    <x v="2"/>
    <x v="1"/>
    <n v="142272"/>
  </r>
  <r>
    <x v="276"/>
    <x v="0"/>
    <x v="2"/>
    <x v="2"/>
    <n v="211692"/>
  </r>
  <r>
    <x v="276"/>
    <x v="0"/>
    <x v="2"/>
    <x v="3"/>
    <n v="4835"/>
  </r>
  <r>
    <x v="276"/>
    <x v="0"/>
    <x v="2"/>
    <x v="4"/>
    <n v="1775"/>
  </r>
  <r>
    <x v="276"/>
    <x v="0"/>
    <x v="3"/>
    <x v="0"/>
    <n v="927"/>
  </r>
  <r>
    <x v="276"/>
    <x v="0"/>
    <x v="3"/>
    <x v="1"/>
    <n v="1002"/>
  </r>
  <r>
    <x v="276"/>
    <x v="0"/>
    <x v="3"/>
    <x v="2"/>
    <n v="420"/>
  </r>
  <r>
    <x v="276"/>
    <x v="0"/>
    <x v="3"/>
    <x v="4"/>
    <n v="4800"/>
  </r>
  <r>
    <x v="276"/>
    <x v="0"/>
    <x v="6"/>
    <x v="3"/>
    <n v="7120"/>
  </r>
  <r>
    <x v="276"/>
    <x v="0"/>
    <x v="8"/>
    <x v="3"/>
    <n v="21744"/>
  </r>
  <r>
    <x v="276"/>
    <x v="0"/>
    <x v="4"/>
    <x v="0"/>
    <n v="6876"/>
  </r>
  <r>
    <x v="276"/>
    <x v="0"/>
    <x v="4"/>
    <x v="2"/>
    <n v="1573"/>
  </r>
  <r>
    <x v="276"/>
    <x v="0"/>
    <x v="4"/>
    <x v="4"/>
    <n v="300"/>
  </r>
  <r>
    <x v="276"/>
    <x v="2"/>
    <x v="1"/>
    <x v="0"/>
    <n v="17242"/>
  </r>
  <r>
    <x v="276"/>
    <x v="2"/>
    <x v="1"/>
    <x v="2"/>
    <n v="7707"/>
  </r>
  <r>
    <x v="276"/>
    <x v="2"/>
    <x v="1"/>
    <x v="4"/>
    <n v="8704"/>
  </r>
  <r>
    <x v="276"/>
    <x v="2"/>
    <x v="2"/>
    <x v="0"/>
    <n v="70517"/>
  </r>
  <r>
    <x v="276"/>
    <x v="2"/>
    <x v="2"/>
    <x v="1"/>
    <n v="25780"/>
  </r>
  <r>
    <x v="276"/>
    <x v="2"/>
    <x v="2"/>
    <x v="2"/>
    <n v="46048"/>
  </r>
  <r>
    <x v="276"/>
    <x v="2"/>
    <x v="3"/>
    <x v="4"/>
    <n v="1500"/>
  </r>
  <r>
    <x v="276"/>
    <x v="2"/>
    <x v="3"/>
    <x v="6"/>
    <n v="500"/>
  </r>
  <r>
    <x v="276"/>
    <x v="2"/>
    <x v="8"/>
    <x v="3"/>
    <n v="2000"/>
  </r>
  <r>
    <x v="277"/>
    <x v="0"/>
    <x v="0"/>
    <x v="0"/>
    <n v="1177477"/>
  </r>
  <r>
    <x v="277"/>
    <x v="0"/>
    <x v="0"/>
    <x v="1"/>
    <n v="456971"/>
  </r>
  <r>
    <x v="277"/>
    <x v="0"/>
    <x v="0"/>
    <x v="2"/>
    <n v="548795"/>
  </r>
  <r>
    <x v="277"/>
    <x v="0"/>
    <x v="0"/>
    <x v="3"/>
    <n v="16000"/>
  </r>
  <r>
    <x v="277"/>
    <x v="0"/>
    <x v="0"/>
    <x v="4"/>
    <n v="25600"/>
  </r>
  <r>
    <x v="277"/>
    <x v="0"/>
    <x v="0"/>
    <x v="6"/>
    <n v="30000"/>
  </r>
  <r>
    <x v="277"/>
    <x v="0"/>
    <x v="10"/>
    <x v="0"/>
    <n v="160652"/>
  </r>
  <r>
    <x v="277"/>
    <x v="0"/>
    <x v="10"/>
    <x v="1"/>
    <n v="84879"/>
  </r>
  <r>
    <x v="277"/>
    <x v="0"/>
    <x v="10"/>
    <x v="2"/>
    <n v="89261"/>
  </r>
  <r>
    <x v="277"/>
    <x v="0"/>
    <x v="1"/>
    <x v="0"/>
    <n v="7996079"/>
  </r>
  <r>
    <x v="277"/>
    <x v="0"/>
    <x v="1"/>
    <x v="1"/>
    <n v="388104"/>
  </r>
  <r>
    <x v="277"/>
    <x v="0"/>
    <x v="1"/>
    <x v="2"/>
    <n v="3112663"/>
  </r>
  <r>
    <x v="277"/>
    <x v="0"/>
    <x v="1"/>
    <x v="3"/>
    <n v="55500"/>
  </r>
  <r>
    <x v="277"/>
    <x v="0"/>
    <x v="1"/>
    <x v="4"/>
    <n v="922629"/>
  </r>
  <r>
    <x v="277"/>
    <x v="0"/>
    <x v="1"/>
    <x v="6"/>
    <n v="7500"/>
  </r>
  <r>
    <x v="277"/>
    <x v="0"/>
    <x v="2"/>
    <x v="5"/>
    <n v="5000"/>
  </r>
  <r>
    <x v="277"/>
    <x v="0"/>
    <x v="2"/>
    <x v="0"/>
    <n v="10663473"/>
  </r>
  <r>
    <x v="277"/>
    <x v="0"/>
    <x v="2"/>
    <x v="1"/>
    <n v="12728774"/>
  </r>
  <r>
    <x v="277"/>
    <x v="0"/>
    <x v="2"/>
    <x v="2"/>
    <n v="11445153"/>
  </r>
  <r>
    <x v="277"/>
    <x v="0"/>
    <x v="2"/>
    <x v="3"/>
    <n v="102100"/>
  </r>
  <r>
    <x v="277"/>
    <x v="0"/>
    <x v="2"/>
    <x v="4"/>
    <n v="2790210"/>
  </r>
  <r>
    <x v="277"/>
    <x v="0"/>
    <x v="2"/>
    <x v="6"/>
    <n v="8000"/>
  </r>
  <r>
    <x v="277"/>
    <x v="0"/>
    <x v="3"/>
    <x v="0"/>
    <n v="1148149"/>
  </r>
  <r>
    <x v="277"/>
    <x v="0"/>
    <x v="3"/>
    <x v="1"/>
    <n v="36000"/>
  </r>
  <r>
    <x v="277"/>
    <x v="0"/>
    <x v="3"/>
    <x v="2"/>
    <n v="391605"/>
  </r>
  <r>
    <x v="277"/>
    <x v="0"/>
    <x v="3"/>
    <x v="3"/>
    <n v="5000"/>
  </r>
  <r>
    <x v="277"/>
    <x v="0"/>
    <x v="3"/>
    <x v="4"/>
    <n v="62000"/>
  </r>
  <r>
    <x v="277"/>
    <x v="0"/>
    <x v="3"/>
    <x v="6"/>
    <n v="12500"/>
  </r>
  <r>
    <x v="277"/>
    <x v="0"/>
    <x v="8"/>
    <x v="3"/>
    <n v="35000"/>
  </r>
  <r>
    <x v="277"/>
    <x v="0"/>
    <x v="8"/>
    <x v="4"/>
    <n v="62000"/>
  </r>
  <r>
    <x v="277"/>
    <x v="0"/>
    <x v="4"/>
    <x v="0"/>
    <n v="325854"/>
  </r>
  <r>
    <x v="277"/>
    <x v="0"/>
    <x v="4"/>
    <x v="2"/>
    <n v="61332"/>
  </r>
  <r>
    <x v="277"/>
    <x v="2"/>
    <x v="1"/>
    <x v="0"/>
    <n v="1000"/>
  </r>
  <r>
    <x v="277"/>
    <x v="2"/>
    <x v="1"/>
    <x v="2"/>
    <n v="225"/>
  </r>
  <r>
    <x v="277"/>
    <x v="2"/>
    <x v="2"/>
    <x v="0"/>
    <n v="3261801"/>
  </r>
  <r>
    <x v="277"/>
    <x v="2"/>
    <x v="2"/>
    <x v="1"/>
    <n v="32202"/>
  </r>
  <r>
    <x v="277"/>
    <x v="2"/>
    <x v="2"/>
    <x v="2"/>
    <n v="1225124"/>
  </r>
  <r>
    <x v="278"/>
    <x v="0"/>
    <x v="0"/>
    <x v="0"/>
    <n v="119353"/>
  </r>
  <r>
    <x v="278"/>
    <x v="0"/>
    <x v="0"/>
    <x v="1"/>
    <n v="34660"/>
  </r>
  <r>
    <x v="278"/>
    <x v="0"/>
    <x v="0"/>
    <x v="2"/>
    <n v="50345"/>
  </r>
  <r>
    <x v="278"/>
    <x v="0"/>
    <x v="0"/>
    <x v="3"/>
    <n v="900"/>
  </r>
  <r>
    <x v="278"/>
    <x v="0"/>
    <x v="0"/>
    <x v="4"/>
    <n v="17750"/>
  </r>
  <r>
    <x v="278"/>
    <x v="0"/>
    <x v="0"/>
    <x v="6"/>
    <n v="50"/>
  </r>
  <r>
    <x v="278"/>
    <x v="0"/>
    <x v="1"/>
    <x v="0"/>
    <n v="493909"/>
  </r>
  <r>
    <x v="278"/>
    <x v="0"/>
    <x v="1"/>
    <x v="2"/>
    <n v="169302"/>
  </r>
  <r>
    <x v="278"/>
    <x v="0"/>
    <x v="1"/>
    <x v="3"/>
    <n v="8000"/>
  </r>
  <r>
    <x v="278"/>
    <x v="0"/>
    <x v="1"/>
    <x v="4"/>
    <n v="15000"/>
  </r>
  <r>
    <x v="278"/>
    <x v="0"/>
    <x v="2"/>
    <x v="0"/>
    <n v="761318"/>
  </r>
  <r>
    <x v="278"/>
    <x v="0"/>
    <x v="2"/>
    <x v="1"/>
    <n v="677906"/>
  </r>
  <r>
    <x v="278"/>
    <x v="0"/>
    <x v="2"/>
    <x v="2"/>
    <n v="651032"/>
  </r>
  <r>
    <x v="278"/>
    <x v="0"/>
    <x v="2"/>
    <x v="3"/>
    <n v="1500"/>
  </r>
  <r>
    <x v="278"/>
    <x v="0"/>
    <x v="2"/>
    <x v="4"/>
    <n v="50000"/>
  </r>
  <r>
    <x v="278"/>
    <x v="0"/>
    <x v="3"/>
    <x v="3"/>
    <n v="100"/>
  </r>
  <r>
    <x v="278"/>
    <x v="0"/>
    <x v="3"/>
    <x v="4"/>
    <n v="15000"/>
  </r>
  <r>
    <x v="278"/>
    <x v="0"/>
    <x v="3"/>
    <x v="6"/>
    <n v="100"/>
  </r>
  <r>
    <x v="278"/>
    <x v="0"/>
    <x v="8"/>
    <x v="3"/>
    <n v="4000"/>
  </r>
  <r>
    <x v="278"/>
    <x v="2"/>
    <x v="0"/>
    <x v="0"/>
    <n v="31827"/>
  </r>
  <r>
    <x v="278"/>
    <x v="2"/>
    <x v="0"/>
    <x v="2"/>
    <n v="9570"/>
  </r>
  <r>
    <x v="278"/>
    <x v="2"/>
    <x v="1"/>
    <x v="4"/>
    <n v="35000"/>
  </r>
  <r>
    <x v="278"/>
    <x v="2"/>
    <x v="2"/>
    <x v="0"/>
    <n v="73886"/>
  </r>
  <r>
    <x v="278"/>
    <x v="2"/>
    <x v="2"/>
    <x v="1"/>
    <n v="123"/>
  </r>
  <r>
    <x v="278"/>
    <x v="2"/>
    <x v="2"/>
    <x v="2"/>
    <n v="30222"/>
  </r>
  <r>
    <x v="279"/>
    <x v="0"/>
    <x v="2"/>
    <x v="4"/>
    <n v="678804"/>
  </r>
  <r>
    <x v="280"/>
    <x v="0"/>
    <x v="0"/>
    <x v="3"/>
    <n v="3100"/>
  </r>
  <r>
    <x v="280"/>
    <x v="0"/>
    <x v="0"/>
    <x v="4"/>
    <n v="400"/>
  </r>
  <r>
    <x v="280"/>
    <x v="0"/>
    <x v="0"/>
    <x v="6"/>
    <n v="600"/>
  </r>
  <r>
    <x v="280"/>
    <x v="0"/>
    <x v="1"/>
    <x v="0"/>
    <n v="266002"/>
  </r>
  <r>
    <x v="280"/>
    <x v="0"/>
    <x v="1"/>
    <x v="2"/>
    <n v="131387"/>
  </r>
  <r>
    <x v="280"/>
    <x v="0"/>
    <x v="1"/>
    <x v="3"/>
    <n v="3000"/>
  </r>
  <r>
    <x v="280"/>
    <x v="0"/>
    <x v="1"/>
    <x v="4"/>
    <n v="223200"/>
  </r>
  <r>
    <x v="280"/>
    <x v="0"/>
    <x v="2"/>
    <x v="0"/>
    <n v="1159864"/>
  </r>
  <r>
    <x v="280"/>
    <x v="0"/>
    <x v="2"/>
    <x v="1"/>
    <n v="789943"/>
  </r>
  <r>
    <x v="280"/>
    <x v="0"/>
    <x v="2"/>
    <x v="2"/>
    <n v="992198"/>
  </r>
  <r>
    <x v="280"/>
    <x v="0"/>
    <x v="2"/>
    <x v="3"/>
    <n v="5500"/>
  </r>
  <r>
    <x v="280"/>
    <x v="0"/>
    <x v="2"/>
    <x v="4"/>
    <n v="31000"/>
  </r>
  <r>
    <x v="280"/>
    <x v="0"/>
    <x v="2"/>
    <x v="6"/>
    <n v="150"/>
  </r>
  <r>
    <x v="280"/>
    <x v="0"/>
    <x v="3"/>
    <x v="4"/>
    <n v="4200"/>
  </r>
  <r>
    <x v="280"/>
    <x v="0"/>
    <x v="6"/>
    <x v="3"/>
    <n v="7000"/>
  </r>
  <r>
    <x v="280"/>
    <x v="0"/>
    <x v="4"/>
    <x v="0"/>
    <n v="28037"/>
  </r>
  <r>
    <x v="280"/>
    <x v="0"/>
    <x v="4"/>
    <x v="2"/>
    <n v="7086"/>
  </r>
  <r>
    <x v="280"/>
    <x v="2"/>
    <x v="0"/>
    <x v="0"/>
    <n v="135713"/>
  </r>
  <r>
    <x v="280"/>
    <x v="2"/>
    <x v="0"/>
    <x v="1"/>
    <n v="69475"/>
  </r>
  <r>
    <x v="280"/>
    <x v="2"/>
    <x v="0"/>
    <x v="2"/>
    <n v="72433"/>
  </r>
  <r>
    <x v="280"/>
    <x v="2"/>
    <x v="0"/>
    <x v="3"/>
    <n v="200"/>
  </r>
  <r>
    <x v="280"/>
    <x v="2"/>
    <x v="2"/>
    <x v="0"/>
    <n v="1740"/>
  </r>
  <r>
    <x v="280"/>
    <x v="2"/>
    <x v="2"/>
    <x v="1"/>
    <n v="53002"/>
  </r>
  <r>
    <x v="280"/>
    <x v="2"/>
    <x v="2"/>
    <x v="2"/>
    <n v="21124"/>
  </r>
  <r>
    <x v="280"/>
    <x v="2"/>
    <x v="2"/>
    <x v="3"/>
    <n v="1000"/>
  </r>
  <r>
    <x v="280"/>
    <x v="2"/>
    <x v="2"/>
    <x v="4"/>
    <n v="136575"/>
  </r>
  <r>
    <x v="281"/>
    <x v="0"/>
    <x v="1"/>
    <x v="3"/>
    <n v="300"/>
  </r>
  <r>
    <x v="281"/>
    <x v="0"/>
    <x v="1"/>
    <x v="4"/>
    <n v="130185"/>
  </r>
  <r>
    <x v="281"/>
    <x v="0"/>
    <x v="2"/>
    <x v="0"/>
    <n v="1050"/>
  </r>
  <r>
    <x v="281"/>
    <x v="0"/>
    <x v="2"/>
    <x v="1"/>
    <n v="138329"/>
  </r>
  <r>
    <x v="281"/>
    <x v="0"/>
    <x v="2"/>
    <x v="2"/>
    <n v="90855"/>
  </r>
  <r>
    <x v="281"/>
    <x v="0"/>
    <x v="2"/>
    <x v="3"/>
    <n v="880"/>
  </r>
  <r>
    <x v="281"/>
    <x v="0"/>
    <x v="2"/>
    <x v="4"/>
    <n v="50231"/>
  </r>
  <r>
    <x v="281"/>
    <x v="0"/>
    <x v="3"/>
    <x v="4"/>
    <n v="100"/>
  </r>
  <r>
    <x v="281"/>
    <x v="0"/>
    <x v="6"/>
    <x v="3"/>
    <n v="200"/>
  </r>
  <r>
    <x v="281"/>
    <x v="2"/>
    <x v="1"/>
    <x v="4"/>
    <n v="682"/>
  </r>
  <r>
    <x v="281"/>
    <x v="2"/>
    <x v="2"/>
    <x v="4"/>
    <n v="67057"/>
  </r>
  <r>
    <x v="282"/>
    <x v="0"/>
    <x v="0"/>
    <x v="0"/>
    <n v="477329"/>
  </r>
  <r>
    <x v="282"/>
    <x v="0"/>
    <x v="0"/>
    <x v="1"/>
    <n v="73391"/>
  </r>
  <r>
    <x v="282"/>
    <x v="0"/>
    <x v="0"/>
    <x v="2"/>
    <n v="203080"/>
  </r>
  <r>
    <x v="282"/>
    <x v="0"/>
    <x v="10"/>
    <x v="1"/>
    <n v="12080"/>
  </r>
  <r>
    <x v="282"/>
    <x v="0"/>
    <x v="10"/>
    <x v="2"/>
    <n v="7635"/>
  </r>
  <r>
    <x v="282"/>
    <x v="0"/>
    <x v="9"/>
    <x v="1"/>
    <n v="71975"/>
  </r>
  <r>
    <x v="282"/>
    <x v="0"/>
    <x v="9"/>
    <x v="2"/>
    <n v="40582"/>
  </r>
  <r>
    <x v="282"/>
    <x v="0"/>
    <x v="7"/>
    <x v="1"/>
    <n v="154451"/>
  </r>
  <r>
    <x v="282"/>
    <x v="0"/>
    <x v="7"/>
    <x v="2"/>
    <n v="124534"/>
  </r>
  <r>
    <x v="282"/>
    <x v="0"/>
    <x v="1"/>
    <x v="0"/>
    <n v="1135565"/>
  </r>
  <r>
    <x v="282"/>
    <x v="0"/>
    <x v="1"/>
    <x v="1"/>
    <n v="47119"/>
  </r>
  <r>
    <x v="282"/>
    <x v="0"/>
    <x v="1"/>
    <x v="2"/>
    <n v="472804"/>
  </r>
  <r>
    <x v="282"/>
    <x v="0"/>
    <x v="1"/>
    <x v="4"/>
    <n v="400000"/>
  </r>
  <r>
    <x v="282"/>
    <x v="0"/>
    <x v="2"/>
    <x v="0"/>
    <n v="2445283"/>
  </r>
  <r>
    <x v="282"/>
    <x v="0"/>
    <x v="2"/>
    <x v="1"/>
    <n v="1192177"/>
  </r>
  <r>
    <x v="282"/>
    <x v="0"/>
    <x v="2"/>
    <x v="2"/>
    <n v="1851176"/>
  </r>
  <r>
    <x v="282"/>
    <x v="0"/>
    <x v="2"/>
    <x v="3"/>
    <n v="200000"/>
  </r>
  <r>
    <x v="282"/>
    <x v="0"/>
    <x v="3"/>
    <x v="0"/>
    <n v="3039"/>
  </r>
  <r>
    <x v="282"/>
    <x v="0"/>
    <x v="3"/>
    <x v="2"/>
    <n v="278"/>
  </r>
  <r>
    <x v="282"/>
    <x v="0"/>
    <x v="4"/>
    <x v="0"/>
    <n v="59231"/>
  </r>
  <r>
    <x v="282"/>
    <x v="0"/>
    <x v="4"/>
    <x v="2"/>
    <n v="14306"/>
  </r>
  <r>
    <x v="282"/>
    <x v="2"/>
    <x v="2"/>
    <x v="1"/>
    <n v="587935"/>
  </r>
  <r>
    <x v="282"/>
    <x v="2"/>
    <x v="2"/>
    <x v="2"/>
    <n v="425056"/>
  </r>
  <r>
    <x v="282"/>
    <x v="2"/>
    <x v="2"/>
    <x v="3"/>
    <n v="53000"/>
  </r>
  <r>
    <x v="283"/>
    <x v="0"/>
    <x v="0"/>
    <x v="0"/>
    <n v="120290"/>
  </r>
  <r>
    <x v="283"/>
    <x v="0"/>
    <x v="0"/>
    <x v="1"/>
    <n v="78064"/>
  </r>
  <r>
    <x v="283"/>
    <x v="0"/>
    <x v="0"/>
    <x v="2"/>
    <n v="74871"/>
  </r>
  <r>
    <x v="283"/>
    <x v="0"/>
    <x v="0"/>
    <x v="3"/>
    <n v="500"/>
  </r>
  <r>
    <x v="283"/>
    <x v="0"/>
    <x v="0"/>
    <x v="4"/>
    <n v="800"/>
  </r>
  <r>
    <x v="283"/>
    <x v="0"/>
    <x v="7"/>
    <x v="1"/>
    <n v="69099"/>
  </r>
  <r>
    <x v="283"/>
    <x v="0"/>
    <x v="7"/>
    <x v="2"/>
    <n v="40229"/>
  </r>
  <r>
    <x v="283"/>
    <x v="0"/>
    <x v="1"/>
    <x v="0"/>
    <n v="514612"/>
  </r>
  <r>
    <x v="283"/>
    <x v="0"/>
    <x v="1"/>
    <x v="1"/>
    <n v="70536"/>
  </r>
  <r>
    <x v="283"/>
    <x v="0"/>
    <x v="1"/>
    <x v="2"/>
    <n v="223158"/>
  </r>
  <r>
    <x v="283"/>
    <x v="0"/>
    <x v="1"/>
    <x v="3"/>
    <n v="500"/>
  </r>
  <r>
    <x v="283"/>
    <x v="0"/>
    <x v="1"/>
    <x v="6"/>
    <n v="3000"/>
  </r>
  <r>
    <x v="283"/>
    <x v="0"/>
    <x v="2"/>
    <x v="0"/>
    <n v="1529387"/>
  </r>
  <r>
    <x v="283"/>
    <x v="0"/>
    <x v="2"/>
    <x v="1"/>
    <n v="690044"/>
  </r>
  <r>
    <x v="283"/>
    <x v="0"/>
    <x v="2"/>
    <x v="2"/>
    <n v="1050782"/>
  </r>
  <r>
    <x v="283"/>
    <x v="0"/>
    <x v="2"/>
    <x v="3"/>
    <n v="813"/>
  </r>
  <r>
    <x v="283"/>
    <x v="0"/>
    <x v="2"/>
    <x v="4"/>
    <n v="137500"/>
  </r>
  <r>
    <x v="283"/>
    <x v="0"/>
    <x v="3"/>
    <x v="0"/>
    <n v="4000"/>
  </r>
  <r>
    <x v="283"/>
    <x v="0"/>
    <x v="3"/>
    <x v="1"/>
    <n v="3150"/>
  </r>
  <r>
    <x v="283"/>
    <x v="0"/>
    <x v="3"/>
    <x v="2"/>
    <n v="1058"/>
  </r>
  <r>
    <x v="283"/>
    <x v="0"/>
    <x v="3"/>
    <x v="4"/>
    <n v="1000"/>
  </r>
  <r>
    <x v="283"/>
    <x v="0"/>
    <x v="3"/>
    <x v="6"/>
    <n v="1000"/>
  </r>
  <r>
    <x v="283"/>
    <x v="0"/>
    <x v="4"/>
    <x v="0"/>
    <n v="21089"/>
  </r>
  <r>
    <x v="283"/>
    <x v="0"/>
    <x v="4"/>
    <x v="2"/>
    <n v="10399"/>
  </r>
  <r>
    <x v="283"/>
    <x v="1"/>
    <x v="1"/>
    <x v="0"/>
    <n v="38000"/>
  </r>
  <r>
    <x v="283"/>
    <x v="1"/>
    <x v="1"/>
    <x v="2"/>
    <n v="8550"/>
  </r>
  <r>
    <x v="283"/>
    <x v="1"/>
    <x v="2"/>
    <x v="0"/>
    <n v="20000"/>
  </r>
  <r>
    <x v="283"/>
    <x v="1"/>
    <x v="2"/>
    <x v="1"/>
    <n v="38200"/>
  </r>
  <r>
    <x v="283"/>
    <x v="1"/>
    <x v="2"/>
    <x v="2"/>
    <n v="12185"/>
  </r>
  <r>
    <x v="283"/>
    <x v="1"/>
    <x v="2"/>
    <x v="3"/>
    <n v="28922"/>
  </r>
  <r>
    <x v="283"/>
    <x v="1"/>
    <x v="2"/>
    <x v="4"/>
    <n v="32235"/>
  </r>
  <r>
    <x v="283"/>
    <x v="1"/>
    <x v="2"/>
    <x v="6"/>
    <n v="1229"/>
  </r>
  <r>
    <x v="283"/>
    <x v="2"/>
    <x v="1"/>
    <x v="1"/>
    <n v="333726"/>
  </r>
  <r>
    <x v="283"/>
    <x v="2"/>
    <x v="1"/>
    <x v="2"/>
    <n v="204616"/>
  </r>
  <r>
    <x v="283"/>
    <x v="2"/>
    <x v="1"/>
    <x v="4"/>
    <n v="199915"/>
  </r>
  <r>
    <x v="283"/>
    <x v="2"/>
    <x v="2"/>
    <x v="1"/>
    <n v="58892"/>
  </r>
  <r>
    <x v="283"/>
    <x v="2"/>
    <x v="2"/>
    <x v="2"/>
    <n v="33423"/>
  </r>
  <r>
    <x v="283"/>
    <x v="2"/>
    <x v="2"/>
    <x v="3"/>
    <n v="42295"/>
  </r>
  <r>
    <x v="283"/>
    <x v="2"/>
    <x v="3"/>
    <x v="0"/>
    <n v="4500"/>
  </r>
  <r>
    <x v="283"/>
    <x v="2"/>
    <x v="3"/>
    <x v="1"/>
    <n v="2398"/>
  </r>
  <r>
    <x v="283"/>
    <x v="2"/>
    <x v="3"/>
    <x v="2"/>
    <n v="1479"/>
  </r>
  <r>
    <x v="283"/>
    <x v="3"/>
    <x v="1"/>
    <x v="4"/>
    <n v="10800"/>
  </r>
  <r>
    <x v="283"/>
    <x v="3"/>
    <x v="2"/>
    <x v="1"/>
    <n v="54386"/>
  </r>
  <r>
    <x v="283"/>
    <x v="3"/>
    <x v="2"/>
    <x v="2"/>
    <n v="36027"/>
  </r>
  <r>
    <x v="283"/>
    <x v="3"/>
    <x v="2"/>
    <x v="4"/>
    <n v="68287"/>
  </r>
  <r>
    <x v="284"/>
    <x v="0"/>
    <x v="0"/>
    <x v="0"/>
    <n v="60135"/>
  </r>
  <r>
    <x v="284"/>
    <x v="0"/>
    <x v="0"/>
    <x v="1"/>
    <n v="29700"/>
  </r>
  <r>
    <x v="284"/>
    <x v="0"/>
    <x v="0"/>
    <x v="2"/>
    <n v="38146"/>
  </r>
  <r>
    <x v="284"/>
    <x v="0"/>
    <x v="0"/>
    <x v="3"/>
    <n v="10000"/>
  </r>
  <r>
    <x v="284"/>
    <x v="0"/>
    <x v="0"/>
    <x v="4"/>
    <n v="10000"/>
  </r>
  <r>
    <x v="284"/>
    <x v="0"/>
    <x v="0"/>
    <x v="6"/>
    <n v="300"/>
  </r>
  <r>
    <x v="284"/>
    <x v="0"/>
    <x v="1"/>
    <x v="0"/>
    <n v="104707"/>
  </r>
  <r>
    <x v="284"/>
    <x v="0"/>
    <x v="1"/>
    <x v="1"/>
    <n v="44975"/>
  </r>
  <r>
    <x v="284"/>
    <x v="0"/>
    <x v="1"/>
    <x v="2"/>
    <n v="54239"/>
  </r>
  <r>
    <x v="284"/>
    <x v="0"/>
    <x v="1"/>
    <x v="3"/>
    <n v="5000"/>
  </r>
  <r>
    <x v="284"/>
    <x v="0"/>
    <x v="1"/>
    <x v="4"/>
    <n v="20000"/>
  </r>
  <r>
    <x v="284"/>
    <x v="0"/>
    <x v="2"/>
    <x v="0"/>
    <n v="426311"/>
  </r>
  <r>
    <x v="284"/>
    <x v="0"/>
    <x v="2"/>
    <x v="1"/>
    <n v="167953"/>
  </r>
  <r>
    <x v="284"/>
    <x v="0"/>
    <x v="2"/>
    <x v="2"/>
    <n v="284132"/>
  </r>
  <r>
    <x v="284"/>
    <x v="0"/>
    <x v="2"/>
    <x v="3"/>
    <n v="5000"/>
  </r>
  <r>
    <x v="284"/>
    <x v="0"/>
    <x v="2"/>
    <x v="4"/>
    <n v="74181"/>
  </r>
  <r>
    <x v="284"/>
    <x v="0"/>
    <x v="2"/>
    <x v="6"/>
    <n v="300"/>
  </r>
  <r>
    <x v="284"/>
    <x v="0"/>
    <x v="3"/>
    <x v="0"/>
    <n v="500"/>
  </r>
  <r>
    <x v="284"/>
    <x v="0"/>
    <x v="3"/>
    <x v="1"/>
    <n v="195"/>
  </r>
  <r>
    <x v="284"/>
    <x v="0"/>
    <x v="3"/>
    <x v="2"/>
    <n v="60"/>
  </r>
  <r>
    <x v="284"/>
    <x v="0"/>
    <x v="3"/>
    <x v="4"/>
    <n v="14500"/>
  </r>
  <r>
    <x v="284"/>
    <x v="0"/>
    <x v="3"/>
    <x v="6"/>
    <n v="500"/>
  </r>
  <r>
    <x v="284"/>
    <x v="0"/>
    <x v="6"/>
    <x v="3"/>
    <n v="10000"/>
  </r>
  <r>
    <x v="284"/>
    <x v="0"/>
    <x v="6"/>
    <x v="4"/>
    <n v="1051"/>
  </r>
  <r>
    <x v="284"/>
    <x v="0"/>
    <x v="8"/>
    <x v="3"/>
    <n v="5000"/>
  </r>
  <r>
    <x v="284"/>
    <x v="2"/>
    <x v="0"/>
    <x v="3"/>
    <n v="1500"/>
  </r>
  <r>
    <x v="284"/>
    <x v="2"/>
    <x v="2"/>
    <x v="0"/>
    <n v="53282"/>
  </r>
  <r>
    <x v="284"/>
    <x v="2"/>
    <x v="2"/>
    <x v="1"/>
    <n v="97002"/>
  </r>
  <r>
    <x v="284"/>
    <x v="2"/>
    <x v="2"/>
    <x v="2"/>
    <n v="81700"/>
  </r>
  <r>
    <x v="284"/>
    <x v="2"/>
    <x v="2"/>
    <x v="3"/>
    <n v="5519"/>
  </r>
  <r>
    <x v="284"/>
    <x v="2"/>
    <x v="2"/>
    <x v="4"/>
    <n v="1000"/>
  </r>
  <r>
    <x v="284"/>
    <x v="2"/>
    <x v="3"/>
    <x v="4"/>
    <n v="1000"/>
  </r>
  <r>
    <x v="284"/>
    <x v="2"/>
    <x v="3"/>
    <x v="6"/>
    <n v="713"/>
  </r>
  <r>
    <x v="285"/>
    <x v="0"/>
    <x v="0"/>
    <x v="0"/>
    <n v="148077"/>
  </r>
  <r>
    <x v="285"/>
    <x v="0"/>
    <x v="0"/>
    <x v="1"/>
    <n v="41278"/>
  </r>
  <r>
    <x v="285"/>
    <x v="0"/>
    <x v="0"/>
    <x v="2"/>
    <n v="66851"/>
  </r>
  <r>
    <x v="285"/>
    <x v="0"/>
    <x v="0"/>
    <x v="3"/>
    <n v="1000"/>
  </r>
  <r>
    <x v="285"/>
    <x v="0"/>
    <x v="0"/>
    <x v="4"/>
    <n v="5300"/>
  </r>
  <r>
    <x v="285"/>
    <x v="0"/>
    <x v="1"/>
    <x v="0"/>
    <n v="678153"/>
  </r>
  <r>
    <x v="285"/>
    <x v="0"/>
    <x v="1"/>
    <x v="1"/>
    <n v="110620"/>
  </r>
  <r>
    <x v="285"/>
    <x v="0"/>
    <x v="1"/>
    <x v="2"/>
    <n v="301157"/>
  </r>
  <r>
    <x v="285"/>
    <x v="0"/>
    <x v="1"/>
    <x v="3"/>
    <n v="12000"/>
  </r>
  <r>
    <x v="285"/>
    <x v="0"/>
    <x v="1"/>
    <x v="4"/>
    <n v="80150"/>
  </r>
  <r>
    <x v="285"/>
    <x v="0"/>
    <x v="2"/>
    <x v="0"/>
    <n v="1856801"/>
  </r>
  <r>
    <x v="285"/>
    <x v="0"/>
    <x v="2"/>
    <x v="1"/>
    <n v="1233155"/>
  </r>
  <r>
    <x v="285"/>
    <x v="0"/>
    <x v="2"/>
    <x v="2"/>
    <n v="1522073"/>
  </r>
  <r>
    <x v="285"/>
    <x v="0"/>
    <x v="2"/>
    <x v="3"/>
    <n v="11350"/>
  </r>
  <r>
    <x v="285"/>
    <x v="0"/>
    <x v="2"/>
    <x v="4"/>
    <n v="810910"/>
  </r>
  <r>
    <x v="285"/>
    <x v="0"/>
    <x v="3"/>
    <x v="0"/>
    <n v="108230"/>
  </r>
  <r>
    <x v="285"/>
    <x v="0"/>
    <x v="3"/>
    <x v="2"/>
    <n v="36290"/>
  </r>
  <r>
    <x v="285"/>
    <x v="0"/>
    <x v="3"/>
    <x v="3"/>
    <n v="1500"/>
  </r>
  <r>
    <x v="285"/>
    <x v="0"/>
    <x v="3"/>
    <x v="4"/>
    <n v="1500"/>
  </r>
  <r>
    <x v="285"/>
    <x v="0"/>
    <x v="8"/>
    <x v="3"/>
    <n v="26000"/>
  </r>
  <r>
    <x v="285"/>
    <x v="0"/>
    <x v="4"/>
    <x v="0"/>
    <n v="25129"/>
  </r>
  <r>
    <x v="285"/>
    <x v="0"/>
    <x v="4"/>
    <x v="2"/>
    <n v="9805"/>
  </r>
  <r>
    <x v="285"/>
    <x v="2"/>
    <x v="1"/>
    <x v="0"/>
    <n v="473790"/>
  </r>
  <r>
    <x v="285"/>
    <x v="2"/>
    <x v="1"/>
    <x v="2"/>
    <n v="166239"/>
  </r>
  <r>
    <x v="285"/>
    <x v="2"/>
    <x v="2"/>
    <x v="1"/>
    <n v="33089"/>
  </r>
  <r>
    <x v="285"/>
    <x v="2"/>
    <x v="2"/>
    <x v="2"/>
    <n v="19302"/>
  </r>
  <r>
    <x v="286"/>
    <x v="0"/>
    <x v="1"/>
    <x v="4"/>
    <n v="14273"/>
  </r>
  <r>
    <x v="286"/>
    <x v="0"/>
    <x v="2"/>
    <x v="0"/>
    <n v="59853"/>
  </r>
  <r>
    <x v="286"/>
    <x v="0"/>
    <x v="2"/>
    <x v="1"/>
    <n v="18109"/>
  </r>
  <r>
    <x v="286"/>
    <x v="0"/>
    <x v="2"/>
    <x v="2"/>
    <n v="38446"/>
  </r>
  <r>
    <x v="286"/>
    <x v="0"/>
    <x v="2"/>
    <x v="6"/>
    <n v="5000"/>
  </r>
  <r>
    <x v="286"/>
    <x v="0"/>
    <x v="4"/>
    <x v="0"/>
    <n v="961"/>
  </r>
  <r>
    <x v="286"/>
    <x v="0"/>
    <x v="4"/>
    <x v="2"/>
    <n v="235"/>
  </r>
  <r>
    <x v="286"/>
    <x v="2"/>
    <x v="1"/>
    <x v="4"/>
    <n v="22837"/>
  </r>
  <r>
    <x v="287"/>
    <x v="0"/>
    <x v="5"/>
    <x v="4"/>
    <n v="374073"/>
  </r>
  <r>
    <x v="288"/>
    <x v="0"/>
    <x v="0"/>
    <x v="0"/>
    <n v="10857"/>
  </r>
  <r>
    <x v="288"/>
    <x v="0"/>
    <x v="0"/>
    <x v="2"/>
    <n v="3661"/>
  </r>
  <r>
    <x v="288"/>
    <x v="0"/>
    <x v="1"/>
    <x v="0"/>
    <n v="150928"/>
  </r>
  <r>
    <x v="288"/>
    <x v="0"/>
    <x v="1"/>
    <x v="2"/>
    <n v="59120"/>
  </r>
  <r>
    <x v="288"/>
    <x v="0"/>
    <x v="2"/>
    <x v="0"/>
    <n v="117048"/>
  </r>
  <r>
    <x v="288"/>
    <x v="0"/>
    <x v="2"/>
    <x v="1"/>
    <n v="198796"/>
  </r>
  <r>
    <x v="288"/>
    <x v="0"/>
    <x v="2"/>
    <x v="2"/>
    <n v="167157"/>
  </r>
  <r>
    <x v="288"/>
    <x v="0"/>
    <x v="2"/>
    <x v="3"/>
    <n v="5000"/>
  </r>
  <r>
    <x v="288"/>
    <x v="0"/>
    <x v="2"/>
    <x v="4"/>
    <n v="10000"/>
  </r>
  <r>
    <x v="288"/>
    <x v="2"/>
    <x v="1"/>
    <x v="0"/>
    <n v="76807"/>
  </r>
  <r>
    <x v="288"/>
    <x v="2"/>
    <x v="1"/>
    <x v="2"/>
    <n v="29689"/>
  </r>
  <r>
    <x v="288"/>
    <x v="2"/>
    <x v="1"/>
    <x v="4"/>
    <n v="9704"/>
  </r>
  <r>
    <x v="288"/>
    <x v="3"/>
    <x v="2"/>
    <x v="1"/>
    <n v="20833"/>
  </r>
  <r>
    <x v="288"/>
    <x v="3"/>
    <x v="2"/>
    <x v="2"/>
    <n v="12877"/>
  </r>
  <r>
    <x v="288"/>
    <x v="3"/>
    <x v="2"/>
    <x v="3"/>
    <n v="5000"/>
  </r>
  <r>
    <x v="288"/>
    <x v="3"/>
    <x v="2"/>
    <x v="4"/>
    <n v="30000"/>
  </r>
  <r>
    <x v="289"/>
    <x v="0"/>
    <x v="0"/>
    <x v="0"/>
    <n v="538901"/>
  </r>
  <r>
    <x v="289"/>
    <x v="0"/>
    <x v="0"/>
    <x v="1"/>
    <n v="169428"/>
  </r>
  <r>
    <x v="289"/>
    <x v="0"/>
    <x v="0"/>
    <x v="2"/>
    <n v="257343"/>
  </r>
  <r>
    <x v="289"/>
    <x v="0"/>
    <x v="0"/>
    <x v="3"/>
    <n v="3425"/>
  </r>
  <r>
    <x v="289"/>
    <x v="0"/>
    <x v="0"/>
    <x v="4"/>
    <n v="1250"/>
  </r>
  <r>
    <x v="289"/>
    <x v="0"/>
    <x v="9"/>
    <x v="1"/>
    <n v="37868"/>
  </r>
  <r>
    <x v="289"/>
    <x v="0"/>
    <x v="9"/>
    <x v="2"/>
    <n v="14402"/>
  </r>
  <r>
    <x v="289"/>
    <x v="0"/>
    <x v="1"/>
    <x v="0"/>
    <n v="2055937"/>
  </r>
  <r>
    <x v="289"/>
    <x v="0"/>
    <x v="1"/>
    <x v="1"/>
    <n v="73509"/>
  </r>
  <r>
    <x v="289"/>
    <x v="0"/>
    <x v="1"/>
    <x v="2"/>
    <n v="815103"/>
  </r>
  <r>
    <x v="289"/>
    <x v="0"/>
    <x v="1"/>
    <x v="3"/>
    <n v="29500"/>
  </r>
  <r>
    <x v="289"/>
    <x v="0"/>
    <x v="1"/>
    <x v="4"/>
    <n v="1118466"/>
  </r>
  <r>
    <x v="289"/>
    <x v="0"/>
    <x v="1"/>
    <x v="6"/>
    <n v="4000"/>
  </r>
  <r>
    <x v="289"/>
    <x v="0"/>
    <x v="2"/>
    <x v="5"/>
    <n v="8000"/>
  </r>
  <r>
    <x v="289"/>
    <x v="0"/>
    <x v="2"/>
    <x v="0"/>
    <n v="3588861"/>
  </r>
  <r>
    <x v="289"/>
    <x v="0"/>
    <x v="2"/>
    <x v="1"/>
    <n v="2363393"/>
  </r>
  <r>
    <x v="289"/>
    <x v="0"/>
    <x v="2"/>
    <x v="2"/>
    <n v="2871806"/>
  </r>
  <r>
    <x v="289"/>
    <x v="0"/>
    <x v="2"/>
    <x v="3"/>
    <n v="42000"/>
  </r>
  <r>
    <x v="289"/>
    <x v="0"/>
    <x v="2"/>
    <x v="4"/>
    <n v="171584"/>
  </r>
  <r>
    <x v="289"/>
    <x v="0"/>
    <x v="2"/>
    <x v="6"/>
    <n v="1000"/>
  </r>
  <r>
    <x v="289"/>
    <x v="0"/>
    <x v="3"/>
    <x v="0"/>
    <n v="62002"/>
  </r>
  <r>
    <x v="289"/>
    <x v="0"/>
    <x v="3"/>
    <x v="1"/>
    <n v="9999"/>
  </r>
  <r>
    <x v="289"/>
    <x v="0"/>
    <x v="3"/>
    <x v="2"/>
    <n v="16311"/>
  </r>
  <r>
    <x v="289"/>
    <x v="0"/>
    <x v="3"/>
    <x v="4"/>
    <n v="16800"/>
  </r>
  <r>
    <x v="289"/>
    <x v="0"/>
    <x v="3"/>
    <x v="6"/>
    <n v="3000"/>
  </r>
  <r>
    <x v="289"/>
    <x v="0"/>
    <x v="6"/>
    <x v="1"/>
    <n v="16467"/>
  </r>
  <r>
    <x v="289"/>
    <x v="0"/>
    <x v="6"/>
    <x v="2"/>
    <n v="8093"/>
  </r>
  <r>
    <x v="289"/>
    <x v="0"/>
    <x v="6"/>
    <x v="3"/>
    <n v="9500"/>
  </r>
  <r>
    <x v="289"/>
    <x v="0"/>
    <x v="8"/>
    <x v="3"/>
    <n v="25000"/>
  </r>
  <r>
    <x v="289"/>
    <x v="0"/>
    <x v="4"/>
    <x v="0"/>
    <n v="119149"/>
  </r>
  <r>
    <x v="289"/>
    <x v="0"/>
    <x v="4"/>
    <x v="2"/>
    <n v="27567"/>
  </r>
  <r>
    <x v="289"/>
    <x v="1"/>
    <x v="1"/>
    <x v="0"/>
    <n v="9860"/>
  </r>
  <r>
    <x v="289"/>
    <x v="1"/>
    <x v="1"/>
    <x v="2"/>
    <n v="2276"/>
  </r>
  <r>
    <x v="289"/>
    <x v="1"/>
    <x v="2"/>
    <x v="1"/>
    <n v="27733"/>
  </r>
  <r>
    <x v="289"/>
    <x v="1"/>
    <x v="2"/>
    <x v="2"/>
    <n v="11512"/>
  </r>
  <r>
    <x v="289"/>
    <x v="2"/>
    <x v="0"/>
    <x v="0"/>
    <n v="29292"/>
  </r>
  <r>
    <x v="289"/>
    <x v="2"/>
    <x v="0"/>
    <x v="2"/>
    <n v="10014"/>
  </r>
  <r>
    <x v="289"/>
    <x v="2"/>
    <x v="2"/>
    <x v="0"/>
    <n v="361589"/>
  </r>
  <r>
    <x v="289"/>
    <x v="2"/>
    <x v="2"/>
    <x v="1"/>
    <n v="569947"/>
  </r>
  <r>
    <x v="289"/>
    <x v="2"/>
    <x v="2"/>
    <x v="2"/>
    <n v="499687"/>
  </r>
  <r>
    <x v="289"/>
    <x v="2"/>
    <x v="3"/>
    <x v="0"/>
    <n v="11076"/>
  </r>
  <r>
    <x v="289"/>
    <x v="2"/>
    <x v="3"/>
    <x v="2"/>
    <n v="2588"/>
  </r>
  <r>
    <x v="289"/>
    <x v="2"/>
    <x v="3"/>
    <x v="4"/>
    <n v="9663"/>
  </r>
  <r>
    <x v="290"/>
    <x v="0"/>
    <x v="0"/>
    <x v="0"/>
    <n v="133082"/>
  </r>
  <r>
    <x v="290"/>
    <x v="0"/>
    <x v="0"/>
    <x v="1"/>
    <n v="39648"/>
  </r>
  <r>
    <x v="290"/>
    <x v="0"/>
    <x v="0"/>
    <x v="2"/>
    <n v="61717"/>
  </r>
  <r>
    <x v="290"/>
    <x v="0"/>
    <x v="0"/>
    <x v="6"/>
    <n v="3000"/>
  </r>
  <r>
    <x v="290"/>
    <x v="0"/>
    <x v="10"/>
    <x v="1"/>
    <n v="13404"/>
  </r>
  <r>
    <x v="290"/>
    <x v="0"/>
    <x v="10"/>
    <x v="2"/>
    <n v="8911"/>
  </r>
  <r>
    <x v="290"/>
    <x v="0"/>
    <x v="1"/>
    <x v="0"/>
    <n v="872901"/>
  </r>
  <r>
    <x v="290"/>
    <x v="0"/>
    <x v="1"/>
    <x v="1"/>
    <n v="234494"/>
  </r>
  <r>
    <x v="290"/>
    <x v="0"/>
    <x v="1"/>
    <x v="2"/>
    <n v="474107"/>
  </r>
  <r>
    <x v="290"/>
    <x v="0"/>
    <x v="2"/>
    <x v="0"/>
    <n v="1490902"/>
  </r>
  <r>
    <x v="290"/>
    <x v="0"/>
    <x v="2"/>
    <x v="1"/>
    <n v="1090418"/>
  </r>
  <r>
    <x v="290"/>
    <x v="0"/>
    <x v="2"/>
    <x v="2"/>
    <n v="1155763"/>
  </r>
  <r>
    <x v="290"/>
    <x v="0"/>
    <x v="2"/>
    <x v="3"/>
    <n v="95500"/>
  </r>
  <r>
    <x v="290"/>
    <x v="0"/>
    <x v="2"/>
    <x v="4"/>
    <n v="100000"/>
  </r>
  <r>
    <x v="290"/>
    <x v="0"/>
    <x v="2"/>
    <x v="6"/>
    <n v="2550"/>
  </r>
  <r>
    <x v="290"/>
    <x v="0"/>
    <x v="6"/>
    <x v="3"/>
    <n v="50000"/>
  </r>
  <r>
    <x v="290"/>
    <x v="1"/>
    <x v="2"/>
    <x v="0"/>
    <n v="9795"/>
  </r>
  <r>
    <x v="290"/>
    <x v="1"/>
    <x v="2"/>
    <x v="2"/>
    <n v="3466"/>
  </r>
  <r>
    <x v="290"/>
    <x v="1"/>
    <x v="2"/>
    <x v="3"/>
    <n v="96877"/>
  </r>
  <r>
    <x v="290"/>
    <x v="1"/>
    <x v="2"/>
    <x v="4"/>
    <n v="64584"/>
  </r>
  <r>
    <x v="290"/>
    <x v="2"/>
    <x v="2"/>
    <x v="0"/>
    <n v="429480"/>
  </r>
  <r>
    <x v="290"/>
    <x v="2"/>
    <x v="2"/>
    <x v="1"/>
    <n v="69310"/>
  </r>
  <r>
    <x v="290"/>
    <x v="2"/>
    <x v="2"/>
    <x v="2"/>
    <n v="209630"/>
  </r>
  <r>
    <x v="290"/>
    <x v="2"/>
    <x v="2"/>
    <x v="3"/>
    <n v="19631"/>
  </r>
  <r>
    <x v="291"/>
    <x v="0"/>
    <x v="0"/>
    <x v="0"/>
    <n v="223311"/>
  </r>
  <r>
    <x v="291"/>
    <x v="0"/>
    <x v="0"/>
    <x v="1"/>
    <n v="173181"/>
  </r>
  <r>
    <x v="291"/>
    <x v="0"/>
    <x v="0"/>
    <x v="2"/>
    <n v="114981"/>
  </r>
  <r>
    <x v="291"/>
    <x v="0"/>
    <x v="1"/>
    <x v="0"/>
    <n v="924614"/>
  </r>
  <r>
    <x v="291"/>
    <x v="0"/>
    <x v="1"/>
    <x v="1"/>
    <n v="423579"/>
  </r>
  <r>
    <x v="291"/>
    <x v="0"/>
    <x v="1"/>
    <x v="2"/>
    <n v="599376"/>
  </r>
  <r>
    <x v="291"/>
    <x v="0"/>
    <x v="2"/>
    <x v="0"/>
    <n v="1929562"/>
  </r>
  <r>
    <x v="291"/>
    <x v="0"/>
    <x v="2"/>
    <x v="1"/>
    <n v="1164370"/>
  </r>
  <r>
    <x v="291"/>
    <x v="0"/>
    <x v="2"/>
    <x v="2"/>
    <n v="1444426"/>
  </r>
  <r>
    <x v="291"/>
    <x v="0"/>
    <x v="2"/>
    <x v="3"/>
    <n v="85950"/>
  </r>
  <r>
    <x v="291"/>
    <x v="0"/>
    <x v="2"/>
    <x v="4"/>
    <n v="1278720"/>
  </r>
  <r>
    <x v="291"/>
    <x v="0"/>
    <x v="3"/>
    <x v="5"/>
    <n v="2000"/>
  </r>
  <r>
    <x v="291"/>
    <x v="0"/>
    <x v="3"/>
    <x v="0"/>
    <n v="175391"/>
  </r>
  <r>
    <x v="291"/>
    <x v="0"/>
    <x v="3"/>
    <x v="1"/>
    <n v="1788"/>
  </r>
  <r>
    <x v="291"/>
    <x v="0"/>
    <x v="3"/>
    <x v="2"/>
    <n v="40598"/>
  </r>
  <r>
    <x v="291"/>
    <x v="0"/>
    <x v="3"/>
    <x v="6"/>
    <n v="10000"/>
  </r>
  <r>
    <x v="291"/>
    <x v="2"/>
    <x v="1"/>
    <x v="0"/>
    <n v="171575"/>
  </r>
  <r>
    <x v="291"/>
    <x v="2"/>
    <x v="1"/>
    <x v="2"/>
    <n v="62031"/>
  </r>
  <r>
    <x v="291"/>
    <x v="2"/>
    <x v="2"/>
    <x v="0"/>
    <n v="598130"/>
  </r>
  <r>
    <x v="291"/>
    <x v="2"/>
    <x v="2"/>
    <x v="1"/>
    <n v="19467"/>
  </r>
  <r>
    <x v="291"/>
    <x v="2"/>
    <x v="2"/>
    <x v="2"/>
    <n v="225233"/>
  </r>
  <r>
    <x v="291"/>
    <x v="2"/>
    <x v="3"/>
    <x v="0"/>
    <n v="48482"/>
  </r>
  <r>
    <x v="291"/>
    <x v="2"/>
    <x v="3"/>
    <x v="2"/>
    <n v="10866"/>
  </r>
  <r>
    <x v="292"/>
    <x v="0"/>
    <x v="1"/>
    <x v="3"/>
    <n v="8000"/>
  </r>
  <r>
    <x v="292"/>
    <x v="0"/>
    <x v="1"/>
    <x v="4"/>
    <n v="10000"/>
  </r>
  <r>
    <x v="292"/>
    <x v="0"/>
    <x v="2"/>
    <x v="0"/>
    <n v="63000"/>
  </r>
  <r>
    <x v="292"/>
    <x v="0"/>
    <x v="2"/>
    <x v="2"/>
    <n v="26026"/>
  </r>
  <r>
    <x v="292"/>
    <x v="2"/>
    <x v="2"/>
    <x v="0"/>
    <n v="7000"/>
  </r>
  <r>
    <x v="292"/>
    <x v="2"/>
    <x v="2"/>
    <x v="2"/>
    <n v="2892"/>
  </r>
  <r>
    <x v="293"/>
    <x v="0"/>
    <x v="2"/>
    <x v="0"/>
    <n v="143688"/>
  </r>
  <r>
    <x v="293"/>
    <x v="0"/>
    <x v="2"/>
    <x v="1"/>
    <n v="153608"/>
  </r>
  <r>
    <x v="293"/>
    <x v="0"/>
    <x v="2"/>
    <x v="2"/>
    <n v="153692"/>
  </r>
  <r>
    <x v="293"/>
    <x v="0"/>
    <x v="2"/>
    <x v="3"/>
    <n v="1601"/>
  </r>
  <r>
    <x v="293"/>
    <x v="0"/>
    <x v="2"/>
    <x v="4"/>
    <n v="166700"/>
  </r>
  <r>
    <x v="293"/>
    <x v="0"/>
    <x v="3"/>
    <x v="4"/>
    <n v="250"/>
  </r>
  <r>
    <x v="293"/>
    <x v="0"/>
    <x v="3"/>
    <x v="6"/>
    <n v="300"/>
  </r>
  <r>
    <x v="293"/>
    <x v="2"/>
    <x v="1"/>
    <x v="4"/>
    <n v="147494"/>
  </r>
  <r>
    <x v="293"/>
    <x v="2"/>
    <x v="2"/>
    <x v="3"/>
    <n v="6489"/>
  </r>
  <r>
    <x v="294"/>
    <x v="0"/>
    <x v="0"/>
    <x v="5"/>
    <n v="5000"/>
  </r>
  <r>
    <x v="294"/>
    <x v="0"/>
    <x v="0"/>
    <x v="0"/>
    <n v="222660"/>
  </r>
  <r>
    <x v="294"/>
    <x v="0"/>
    <x v="0"/>
    <x v="1"/>
    <n v="72740"/>
  </r>
  <r>
    <x v="294"/>
    <x v="0"/>
    <x v="0"/>
    <x v="2"/>
    <n v="98632"/>
  </r>
  <r>
    <x v="294"/>
    <x v="0"/>
    <x v="0"/>
    <x v="3"/>
    <n v="2000"/>
  </r>
  <r>
    <x v="294"/>
    <x v="0"/>
    <x v="0"/>
    <x v="4"/>
    <n v="1000"/>
  </r>
  <r>
    <x v="294"/>
    <x v="0"/>
    <x v="0"/>
    <x v="6"/>
    <n v="500"/>
  </r>
  <r>
    <x v="294"/>
    <x v="0"/>
    <x v="9"/>
    <x v="0"/>
    <n v="48852"/>
  </r>
  <r>
    <x v="294"/>
    <x v="0"/>
    <x v="9"/>
    <x v="2"/>
    <n v="19178"/>
  </r>
  <r>
    <x v="294"/>
    <x v="0"/>
    <x v="7"/>
    <x v="1"/>
    <n v="181677"/>
  </r>
  <r>
    <x v="294"/>
    <x v="0"/>
    <x v="7"/>
    <x v="2"/>
    <n v="163004"/>
  </r>
  <r>
    <x v="294"/>
    <x v="0"/>
    <x v="1"/>
    <x v="0"/>
    <n v="1118693"/>
  </r>
  <r>
    <x v="294"/>
    <x v="0"/>
    <x v="1"/>
    <x v="2"/>
    <n v="430134"/>
  </r>
  <r>
    <x v="294"/>
    <x v="0"/>
    <x v="1"/>
    <x v="3"/>
    <n v="18000"/>
  </r>
  <r>
    <x v="294"/>
    <x v="0"/>
    <x v="1"/>
    <x v="4"/>
    <n v="257100"/>
  </r>
  <r>
    <x v="294"/>
    <x v="0"/>
    <x v="1"/>
    <x v="6"/>
    <n v="1500"/>
  </r>
  <r>
    <x v="294"/>
    <x v="0"/>
    <x v="2"/>
    <x v="5"/>
    <n v="1800"/>
  </r>
  <r>
    <x v="294"/>
    <x v="0"/>
    <x v="2"/>
    <x v="0"/>
    <n v="2175224"/>
  </r>
  <r>
    <x v="294"/>
    <x v="0"/>
    <x v="2"/>
    <x v="1"/>
    <n v="1439197"/>
  </r>
  <r>
    <x v="294"/>
    <x v="0"/>
    <x v="2"/>
    <x v="2"/>
    <n v="1614973"/>
  </r>
  <r>
    <x v="294"/>
    <x v="0"/>
    <x v="2"/>
    <x v="3"/>
    <n v="10550"/>
  </r>
  <r>
    <x v="294"/>
    <x v="0"/>
    <x v="2"/>
    <x v="4"/>
    <n v="26598"/>
  </r>
  <r>
    <x v="294"/>
    <x v="0"/>
    <x v="2"/>
    <x v="6"/>
    <n v="30"/>
  </r>
  <r>
    <x v="294"/>
    <x v="0"/>
    <x v="5"/>
    <x v="4"/>
    <n v="41500"/>
  </r>
  <r>
    <x v="294"/>
    <x v="0"/>
    <x v="3"/>
    <x v="0"/>
    <n v="127372"/>
  </r>
  <r>
    <x v="294"/>
    <x v="0"/>
    <x v="3"/>
    <x v="2"/>
    <n v="29736"/>
  </r>
  <r>
    <x v="294"/>
    <x v="0"/>
    <x v="3"/>
    <x v="3"/>
    <n v="1500"/>
  </r>
  <r>
    <x v="294"/>
    <x v="0"/>
    <x v="3"/>
    <x v="4"/>
    <n v="36300"/>
  </r>
  <r>
    <x v="294"/>
    <x v="0"/>
    <x v="3"/>
    <x v="6"/>
    <n v="1500"/>
  </r>
  <r>
    <x v="294"/>
    <x v="0"/>
    <x v="8"/>
    <x v="3"/>
    <n v="26700"/>
  </r>
  <r>
    <x v="294"/>
    <x v="0"/>
    <x v="4"/>
    <x v="0"/>
    <n v="78457"/>
  </r>
  <r>
    <x v="294"/>
    <x v="0"/>
    <x v="4"/>
    <x v="2"/>
    <n v="30619"/>
  </r>
  <r>
    <x v="294"/>
    <x v="2"/>
    <x v="1"/>
    <x v="0"/>
    <n v="84351"/>
  </r>
  <r>
    <x v="294"/>
    <x v="2"/>
    <x v="1"/>
    <x v="2"/>
    <n v="31867"/>
  </r>
  <r>
    <x v="294"/>
    <x v="2"/>
    <x v="2"/>
    <x v="0"/>
    <n v="109019"/>
  </r>
  <r>
    <x v="294"/>
    <x v="2"/>
    <x v="2"/>
    <x v="1"/>
    <n v="293026"/>
  </r>
  <r>
    <x v="294"/>
    <x v="2"/>
    <x v="2"/>
    <x v="2"/>
    <n v="217536"/>
  </r>
  <r>
    <x v="294"/>
    <x v="2"/>
    <x v="2"/>
    <x v="3"/>
    <n v="56025"/>
  </r>
  <r>
    <x v="294"/>
    <x v="2"/>
    <x v="3"/>
    <x v="0"/>
    <n v="4839"/>
  </r>
  <r>
    <x v="294"/>
    <x v="2"/>
    <x v="3"/>
    <x v="2"/>
    <n v="1128"/>
  </r>
  <r>
    <x v="294"/>
    <x v="4"/>
    <x v="1"/>
    <x v="0"/>
    <n v="16681"/>
  </r>
  <r>
    <x v="294"/>
    <x v="4"/>
    <x v="1"/>
    <x v="2"/>
    <n v="6354"/>
  </r>
  <r>
    <x v="294"/>
    <x v="4"/>
    <x v="2"/>
    <x v="0"/>
    <n v="65450"/>
  </r>
  <r>
    <x v="294"/>
    <x v="4"/>
    <x v="2"/>
    <x v="1"/>
    <n v="35389"/>
  </r>
  <r>
    <x v="294"/>
    <x v="4"/>
    <x v="2"/>
    <x v="2"/>
    <n v="47417"/>
  </r>
  <r>
    <x v="294"/>
    <x v="4"/>
    <x v="3"/>
    <x v="0"/>
    <n v="2644"/>
  </r>
  <r>
    <x v="294"/>
    <x v="4"/>
    <x v="3"/>
    <x v="2"/>
    <n v="620"/>
  </r>
  <r>
    <x v="295"/>
    <x v="0"/>
    <x v="5"/>
    <x v="4"/>
    <n v="1646615"/>
  </r>
  <r>
    <x v="296"/>
    <x v="0"/>
    <x v="1"/>
    <x v="4"/>
    <n v="100000"/>
  </r>
  <r>
    <x v="296"/>
    <x v="0"/>
    <x v="2"/>
    <x v="0"/>
    <n v="133833"/>
  </r>
  <r>
    <x v="296"/>
    <x v="0"/>
    <x v="2"/>
    <x v="2"/>
    <n v="52504"/>
  </r>
  <r>
    <x v="296"/>
    <x v="2"/>
    <x v="2"/>
    <x v="0"/>
    <n v="23618"/>
  </r>
  <r>
    <x v="296"/>
    <x v="2"/>
    <x v="2"/>
    <x v="2"/>
    <n v="9265"/>
  </r>
  <r>
    <x v="297"/>
    <x v="0"/>
    <x v="2"/>
    <x v="0"/>
    <n v="162805"/>
  </r>
  <r>
    <x v="297"/>
    <x v="0"/>
    <x v="2"/>
    <x v="1"/>
    <n v="157652"/>
  </r>
  <r>
    <x v="297"/>
    <x v="0"/>
    <x v="2"/>
    <x v="2"/>
    <n v="158006"/>
  </r>
  <r>
    <x v="297"/>
    <x v="0"/>
    <x v="2"/>
    <x v="3"/>
    <n v="3800"/>
  </r>
  <r>
    <x v="297"/>
    <x v="2"/>
    <x v="1"/>
    <x v="4"/>
    <n v="50000"/>
  </r>
  <r>
    <x v="298"/>
    <x v="0"/>
    <x v="0"/>
    <x v="0"/>
    <n v="19829"/>
  </r>
  <r>
    <x v="298"/>
    <x v="0"/>
    <x v="0"/>
    <x v="2"/>
    <n v="7074"/>
  </r>
  <r>
    <x v="298"/>
    <x v="0"/>
    <x v="2"/>
    <x v="0"/>
    <n v="270297"/>
  </r>
  <r>
    <x v="298"/>
    <x v="0"/>
    <x v="2"/>
    <x v="1"/>
    <n v="148788"/>
  </r>
  <r>
    <x v="298"/>
    <x v="0"/>
    <x v="2"/>
    <x v="2"/>
    <n v="206943"/>
  </r>
  <r>
    <x v="298"/>
    <x v="0"/>
    <x v="2"/>
    <x v="3"/>
    <n v="1000"/>
  </r>
  <r>
    <x v="298"/>
    <x v="0"/>
    <x v="2"/>
    <x v="4"/>
    <n v="30000"/>
  </r>
  <r>
    <x v="298"/>
    <x v="2"/>
    <x v="2"/>
    <x v="0"/>
    <n v="1806"/>
  </r>
  <r>
    <x v="298"/>
    <x v="2"/>
    <x v="2"/>
    <x v="1"/>
    <n v="7836"/>
  </r>
  <r>
    <x v="298"/>
    <x v="2"/>
    <x v="2"/>
    <x v="2"/>
    <n v="15657"/>
  </r>
  <r>
    <x v="298"/>
    <x v="2"/>
    <x v="2"/>
    <x v="4"/>
    <n v="55072"/>
  </r>
  <r>
    <x v="299"/>
    <x v="0"/>
    <x v="0"/>
    <x v="0"/>
    <n v="23534"/>
  </r>
  <r>
    <x v="299"/>
    <x v="0"/>
    <x v="0"/>
    <x v="2"/>
    <n v="19876"/>
  </r>
  <r>
    <x v="299"/>
    <x v="0"/>
    <x v="1"/>
    <x v="3"/>
    <n v="50000"/>
  </r>
  <r>
    <x v="299"/>
    <x v="0"/>
    <x v="2"/>
    <x v="0"/>
    <n v="79316"/>
  </r>
  <r>
    <x v="299"/>
    <x v="0"/>
    <x v="2"/>
    <x v="1"/>
    <n v="55534"/>
  </r>
  <r>
    <x v="299"/>
    <x v="0"/>
    <x v="2"/>
    <x v="2"/>
    <n v="64162"/>
  </r>
  <r>
    <x v="299"/>
    <x v="0"/>
    <x v="2"/>
    <x v="3"/>
    <n v="40000"/>
  </r>
  <r>
    <x v="299"/>
    <x v="0"/>
    <x v="2"/>
    <x v="4"/>
    <n v="5000"/>
  </r>
  <r>
    <x v="299"/>
    <x v="0"/>
    <x v="8"/>
    <x v="3"/>
    <n v="2000"/>
  </r>
  <r>
    <x v="299"/>
    <x v="0"/>
    <x v="4"/>
    <x v="0"/>
    <n v="2204"/>
  </r>
  <r>
    <x v="299"/>
    <x v="0"/>
    <x v="4"/>
    <x v="2"/>
    <n v="188"/>
  </r>
  <r>
    <x v="299"/>
    <x v="0"/>
    <x v="4"/>
    <x v="4"/>
    <n v="500"/>
  </r>
  <r>
    <x v="299"/>
    <x v="2"/>
    <x v="1"/>
    <x v="3"/>
    <n v="2750"/>
  </r>
  <r>
    <x v="299"/>
    <x v="2"/>
    <x v="1"/>
    <x v="4"/>
    <n v="37100"/>
  </r>
  <r>
    <x v="299"/>
    <x v="2"/>
    <x v="1"/>
    <x v="6"/>
    <n v="2000"/>
  </r>
  <r>
    <x v="299"/>
    <x v="2"/>
    <x v="2"/>
    <x v="4"/>
    <n v="1200"/>
  </r>
  <r>
    <x v="300"/>
    <x v="0"/>
    <x v="0"/>
    <x v="0"/>
    <n v="55388"/>
  </r>
  <r>
    <x v="300"/>
    <x v="0"/>
    <x v="0"/>
    <x v="2"/>
    <n v="18699"/>
  </r>
  <r>
    <x v="300"/>
    <x v="0"/>
    <x v="7"/>
    <x v="1"/>
    <n v="12300"/>
  </r>
  <r>
    <x v="300"/>
    <x v="0"/>
    <x v="7"/>
    <x v="2"/>
    <n v="15327"/>
  </r>
  <r>
    <x v="300"/>
    <x v="0"/>
    <x v="2"/>
    <x v="0"/>
    <n v="322303"/>
  </r>
  <r>
    <x v="300"/>
    <x v="0"/>
    <x v="2"/>
    <x v="1"/>
    <n v="330055"/>
  </r>
  <r>
    <x v="300"/>
    <x v="0"/>
    <x v="2"/>
    <x v="2"/>
    <n v="368483"/>
  </r>
  <r>
    <x v="300"/>
    <x v="0"/>
    <x v="2"/>
    <x v="3"/>
    <n v="3200"/>
  </r>
  <r>
    <x v="300"/>
    <x v="0"/>
    <x v="2"/>
    <x v="4"/>
    <n v="160000"/>
  </r>
  <r>
    <x v="300"/>
    <x v="0"/>
    <x v="5"/>
    <x v="4"/>
    <n v="150000"/>
  </r>
  <r>
    <x v="300"/>
    <x v="2"/>
    <x v="1"/>
    <x v="4"/>
    <n v="167553"/>
  </r>
  <r>
    <x v="301"/>
    <x v="0"/>
    <x v="1"/>
    <x v="4"/>
    <n v="5000"/>
  </r>
  <r>
    <x v="301"/>
    <x v="0"/>
    <x v="2"/>
    <x v="0"/>
    <n v="77226"/>
  </r>
  <r>
    <x v="301"/>
    <x v="0"/>
    <x v="2"/>
    <x v="1"/>
    <n v="34454"/>
  </r>
  <r>
    <x v="301"/>
    <x v="0"/>
    <x v="2"/>
    <x v="2"/>
    <n v="52382"/>
  </r>
  <r>
    <x v="301"/>
    <x v="0"/>
    <x v="2"/>
    <x v="3"/>
    <n v="800"/>
  </r>
  <r>
    <x v="301"/>
    <x v="0"/>
    <x v="2"/>
    <x v="4"/>
    <n v="55000"/>
  </r>
  <r>
    <x v="301"/>
    <x v="0"/>
    <x v="6"/>
    <x v="4"/>
    <n v="1500"/>
  </r>
  <r>
    <x v="301"/>
    <x v="0"/>
    <x v="4"/>
    <x v="0"/>
    <n v="1287"/>
  </r>
  <r>
    <x v="301"/>
    <x v="0"/>
    <x v="4"/>
    <x v="2"/>
    <n v="301"/>
  </r>
  <r>
    <x v="301"/>
    <x v="2"/>
    <x v="1"/>
    <x v="4"/>
    <n v="33730"/>
  </r>
  <r>
    <x v="301"/>
    <x v="2"/>
    <x v="2"/>
    <x v="3"/>
    <n v="3064"/>
  </r>
  <r>
    <x v="302"/>
    <x v="0"/>
    <x v="5"/>
    <x v="4"/>
    <n v="80957"/>
  </r>
  <r>
    <x v="303"/>
    <x v="0"/>
    <x v="0"/>
    <x v="0"/>
    <n v="128800"/>
  </r>
  <r>
    <x v="303"/>
    <x v="0"/>
    <x v="0"/>
    <x v="1"/>
    <n v="83367"/>
  </r>
  <r>
    <x v="303"/>
    <x v="0"/>
    <x v="0"/>
    <x v="2"/>
    <n v="75264"/>
  </r>
  <r>
    <x v="303"/>
    <x v="0"/>
    <x v="0"/>
    <x v="3"/>
    <n v="5000"/>
  </r>
  <r>
    <x v="303"/>
    <x v="0"/>
    <x v="0"/>
    <x v="4"/>
    <n v="11000"/>
  </r>
  <r>
    <x v="303"/>
    <x v="0"/>
    <x v="0"/>
    <x v="6"/>
    <n v="6000"/>
  </r>
  <r>
    <x v="303"/>
    <x v="0"/>
    <x v="1"/>
    <x v="0"/>
    <n v="727461"/>
  </r>
  <r>
    <x v="303"/>
    <x v="0"/>
    <x v="1"/>
    <x v="2"/>
    <n v="276105"/>
  </r>
  <r>
    <x v="303"/>
    <x v="0"/>
    <x v="1"/>
    <x v="3"/>
    <n v="6970"/>
  </r>
  <r>
    <x v="303"/>
    <x v="0"/>
    <x v="1"/>
    <x v="4"/>
    <n v="62750"/>
  </r>
  <r>
    <x v="303"/>
    <x v="0"/>
    <x v="1"/>
    <x v="6"/>
    <n v="2200"/>
  </r>
  <r>
    <x v="303"/>
    <x v="0"/>
    <x v="2"/>
    <x v="5"/>
    <n v="1000"/>
  </r>
  <r>
    <x v="303"/>
    <x v="0"/>
    <x v="2"/>
    <x v="0"/>
    <n v="924695"/>
  </r>
  <r>
    <x v="303"/>
    <x v="0"/>
    <x v="2"/>
    <x v="1"/>
    <n v="1462756"/>
  </r>
  <r>
    <x v="303"/>
    <x v="0"/>
    <x v="2"/>
    <x v="2"/>
    <n v="1330293"/>
  </r>
  <r>
    <x v="303"/>
    <x v="0"/>
    <x v="2"/>
    <x v="3"/>
    <n v="37920"/>
  </r>
  <r>
    <x v="303"/>
    <x v="0"/>
    <x v="2"/>
    <x v="4"/>
    <n v="553500"/>
  </r>
  <r>
    <x v="303"/>
    <x v="0"/>
    <x v="2"/>
    <x v="6"/>
    <n v="1000"/>
  </r>
  <r>
    <x v="303"/>
    <x v="0"/>
    <x v="5"/>
    <x v="4"/>
    <n v="15000"/>
  </r>
  <r>
    <x v="303"/>
    <x v="0"/>
    <x v="3"/>
    <x v="1"/>
    <n v="4800"/>
  </r>
  <r>
    <x v="303"/>
    <x v="0"/>
    <x v="3"/>
    <x v="2"/>
    <n v="959"/>
  </r>
  <r>
    <x v="303"/>
    <x v="0"/>
    <x v="3"/>
    <x v="4"/>
    <n v="5000"/>
  </r>
  <r>
    <x v="303"/>
    <x v="0"/>
    <x v="6"/>
    <x v="3"/>
    <n v="5000"/>
  </r>
  <r>
    <x v="303"/>
    <x v="0"/>
    <x v="8"/>
    <x v="3"/>
    <n v="3000"/>
  </r>
  <r>
    <x v="303"/>
    <x v="0"/>
    <x v="8"/>
    <x v="4"/>
    <n v="20500"/>
  </r>
  <r>
    <x v="303"/>
    <x v="0"/>
    <x v="4"/>
    <x v="0"/>
    <n v="28549"/>
  </r>
  <r>
    <x v="303"/>
    <x v="0"/>
    <x v="4"/>
    <x v="2"/>
    <n v="11698"/>
  </r>
  <r>
    <x v="303"/>
    <x v="2"/>
    <x v="2"/>
    <x v="0"/>
    <n v="200423"/>
  </r>
  <r>
    <x v="303"/>
    <x v="2"/>
    <x v="2"/>
    <x v="1"/>
    <n v="88215"/>
  </r>
  <r>
    <x v="303"/>
    <x v="2"/>
    <x v="2"/>
    <x v="2"/>
    <n v="131961"/>
  </r>
  <r>
    <x v="304"/>
    <x v="0"/>
    <x v="0"/>
    <x v="0"/>
    <n v="825352"/>
  </r>
  <r>
    <x v="304"/>
    <x v="0"/>
    <x v="0"/>
    <x v="1"/>
    <n v="342826"/>
  </r>
  <r>
    <x v="304"/>
    <x v="0"/>
    <x v="0"/>
    <x v="2"/>
    <n v="414791"/>
  </r>
  <r>
    <x v="304"/>
    <x v="0"/>
    <x v="0"/>
    <x v="3"/>
    <n v="15000"/>
  </r>
  <r>
    <x v="304"/>
    <x v="0"/>
    <x v="0"/>
    <x v="4"/>
    <n v="8000"/>
  </r>
  <r>
    <x v="304"/>
    <x v="0"/>
    <x v="0"/>
    <x v="6"/>
    <n v="3400"/>
  </r>
  <r>
    <x v="304"/>
    <x v="0"/>
    <x v="12"/>
    <x v="1"/>
    <n v="71344"/>
  </r>
  <r>
    <x v="304"/>
    <x v="0"/>
    <x v="12"/>
    <x v="2"/>
    <n v="28400"/>
  </r>
  <r>
    <x v="304"/>
    <x v="0"/>
    <x v="10"/>
    <x v="0"/>
    <n v="154187"/>
  </r>
  <r>
    <x v="304"/>
    <x v="0"/>
    <x v="10"/>
    <x v="1"/>
    <n v="72313"/>
  </r>
  <r>
    <x v="304"/>
    <x v="0"/>
    <x v="10"/>
    <x v="2"/>
    <n v="85078"/>
  </r>
  <r>
    <x v="304"/>
    <x v="0"/>
    <x v="10"/>
    <x v="3"/>
    <n v="3500"/>
  </r>
  <r>
    <x v="304"/>
    <x v="0"/>
    <x v="10"/>
    <x v="4"/>
    <n v="4000"/>
  </r>
  <r>
    <x v="304"/>
    <x v="0"/>
    <x v="10"/>
    <x v="6"/>
    <n v="3300"/>
  </r>
  <r>
    <x v="304"/>
    <x v="0"/>
    <x v="1"/>
    <x v="0"/>
    <n v="4378127"/>
  </r>
  <r>
    <x v="304"/>
    <x v="0"/>
    <x v="1"/>
    <x v="1"/>
    <n v="400391"/>
  </r>
  <r>
    <x v="304"/>
    <x v="0"/>
    <x v="1"/>
    <x v="2"/>
    <n v="1789437"/>
  </r>
  <r>
    <x v="304"/>
    <x v="0"/>
    <x v="1"/>
    <x v="3"/>
    <n v="100000"/>
  </r>
  <r>
    <x v="304"/>
    <x v="0"/>
    <x v="1"/>
    <x v="4"/>
    <n v="297100"/>
  </r>
  <r>
    <x v="304"/>
    <x v="0"/>
    <x v="1"/>
    <x v="6"/>
    <n v="10000"/>
  </r>
  <r>
    <x v="304"/>
    <x v="0"/>
    <x v="2"/>
    <x v="5"/>
    <n v="7000"/>
  </r>
  <r>
    <x v="304"/>
    <x v="0"/>
    <x v="2"/>
    <x v="0"/>
    <n v="8740215"/>
  </r>
  <r>
    <x v="304"/>
    <x v="0"/>
    <x v="2"/>
    <x v="1"/>
    <n v="8050697"/>
  </r>
  <r>
    <x v="304"/>
    <x v="0"/>
    <x v="2"/>
    <x v="2"/>
    <n v="7821898"/>
  </r>
  <r>
    <x v="304"/>
    <x v="0"/>
    <x v="2"/>
    <x v="3"/>
    <n v="132050"/>
  </r>
  <r>
    <x v="304"/>
    <x v="0"/>
    <x v="2"/>
    <x v="4"/>
    <n v="23900"/>
  </r>
  <r>
    <x v="304"/>
    <x v="0"/>
    <x v="2"/>
    <x v="6"/>
    <n v="15000"/>
  </r>
  <r>
    <x v="304"/>
    <x v="0"/>
    <x v="3"/>
    <x v="0"/>
    <n v="195170"/>
  </r>
  <r>
    <x v="304"/>
    <x v="0"/>
    <x v="3"/>
    <x v="2"/>
    <n v="71738"/>
  </r>
  <r>
    <x v="304"/>
    <x v="0"/>
    <x v="3"/>
    <x v="3"/>
    <n v="1600"/>
  </r>
  <r>
    <x v="304"/>
    <x v="0"/>
    <x v="3"/>
    <x v="4"/>
    <n v="9400"/>
  </r>
  <r>
    <x v="304"/>
    <x v="0"/>
    <x v="3"/>
    <x v="6"/>
    <n v="2200"/>
  </r>
  <r>
    <x v="304"/>
    <x v="0"/>
    <x v="8"/>
    <x v="3"/>
    <n v="70000"/>
  </r>
  <r>
    <x v="304"/>
    <x v="0"/>
    <x v="4"/>
    <x v="0"/>
    <n v="220962"/>
  </r>
  <r>
    <x v="304"/>
    <x v="0"/>
    <x v="4"/>
    <x v="2"/>
    <n v="40004"/>
  </r>
  <r>
    <x v="304"/>
    <x v="2"/>
    <x v="1"/>
    <x v="0"/>
    <n v="193579"/>
  </r>
  <r>
    <x v="304"/>
    <x v="2"/>
    <x v="1"/>
    <x v="2"/>
    <n v="75480"/>
  </r>
  <r>
    <x v="304"/>
    <x v="2"/>
    <x v="2"/>
    <x v="0"/>
    <n v="1273554"/>
  </r>
  <r>
    <x v="304"/>
    <x v="2"/>
    <x v="2"/>
    <x v="1"/>
    <n v="879909"/>
  </r>
  <r>
    <x v="304"/>
    <x v="2"/>
    <x v="2"/>
    <x v="2"/>
    <n v="972995"/>
  </r>
  <r>
    <x v="304"/>
    <x v="2"/>
    <x v="2"/>
    <x v="3"/>
    <n v="18670"/>
  </r>
  <r>
    <x v="305"/>
    <x v="0"/>
    <x v="0"/>
    <x v="0"/>
    <n v="447640"/>
  </r>
  <r>
    <x v="305"/>
    <x v="0"/>
    <x v="0"/>
    <x v="1"/>
    <n v="89892"/>
  </r>
  <r>
    <x v="305"/>
    <x v="0"/>
    <x v="0"/>
    <x v="2"/>
    <n v="183464"/>
  </r>
  <r>
    <x v="305"/>
    <x v="0"/>
    <x v="0"/>
    <x v="3"/>
    <n v="5000"/>
  </r>
  <r>
    <x v="305"/>
    <x v="0"/>
    <x v="0"/>
    <x v="4"/>
    <n v="19000"/>
  </r>
  <r>
    <x v="305"/>
    <x v="0"/>
    <x v="0"/>
    <x v="6"/>
    <n v="5000"/>
  </r>
  <r>
    <x v="305"/>
    <x v="0"/>
    <x v="7"/>
    <x v="1"/>
    <n v="132063"/>
  </r>
  <r>
    <x v="305"/>
    <x v="0"/>
    <x v="7"/>
    <x v="2"/>
    <n v="99503"/>
  </r>
  <r>
    <x v="305"/>
    <x v="0"/>
    <x v="1"/>
    <x v="0"/>
    <n v="1387723"/>
  </r>
  <r>
    <x v="305"/>
    <x v="0"/>
    <x v="1"/>
    <x v="1"/>
    <n v="203251"/>
  </r>
  <r>
    <x v="305"/>
    <x v="0"/>
    <x v="1"/>
    <x v="2"/>
    <n v="642271"/>
  </r>
  <r>
    <x v="305"/>
    <x v="0"/>
    <x v="1"/>
    <x v="3"/>
    <n v="12000"/>
  </r>
  <r>
    <x v="305"/>
    <x v="0"/>
    <x v="1"/>
    <x v="6"/>
    <n v="3000"/>
  </r>
  <r>
    <x v="305"/>
    <x v="0"/>
    <x v="2"/>
    <x v="5"/>
    <n v="3000"/>
  </r>
  <r>
    <x v="305"/>
    <x v="0"/>
    <x v="2"/>
    <x v="0"/>
    <n v="2603029"/>
  </r>
  <r>
    <x v="305"/>
    <x v="0"/>
    <x v="2"/>
    <x v="1"/>
    <n v="2856564"/>
  </r>
  <r>
    <x v="305"/>
    <x v="0"/>
    <x v="2"/>
    <x v="2"/>
    <n v="2749203"/>
  </r>
  <r>
    <x v="305"/>
    <x v="0"/>
    <x v="2"/>
    <x v="3"/>
    <n v="59000"/>
  </r>
  <r>
    <x v="305"/>
    <x v="0"/>
    <x v="2"/>
    <x v="4"/>
    <n v="885500"/>
  </r>
  <r>
    <x v="305"/>
    <x v="0"/>
    <x v="2"/>
    <x v="6"/>
    <n v="7000"/>
  </r>
  <r>
    <x v="305"/>
    <x v="0"/>
    <x v="3"/>
    <x v="0"/>
    <n v="8748"/>
  </r>
  <r>
    <x v="305"/>
    <x v="0"/>
    <x v="3"/>
    <x v="2"/>
    <n v="2081"/>
  </r>
  <r>
    <x v="305"/>
    <x v="0"/>
    <x v="3"/>
    <x v="3"/>
    <n v="2000"/>
  </r>
  <r>
    <x v="305"/>
    <x v="0"/>
    <x v="3"/>
    <x v="4"/>
    <n v="6000"/>
  </r>
  <r>
    <x v="305"/>
    <x v="0"/>
    <x v="3"/>
    <x v="6"/>
    <n v="7000"/>
  </r>
  <r>
    <x v="305"/>
    <x v="0"/>
    <x v="6"/>
    <x v="3"/>
    <n v="25000"/>
  </r>
  <r>
    <x v="305"/>
    <x v="0"/>
    <x v="6"/>
    <x v="4"/>
    <n v="500"/>
  </r>
  <r>
    <x v="305"/>
    <x v="0"/>
    <x v="8"/>
    <x v="3"/>
    <n v="12000"/>
  </r>
  <r>
    <x v="305"/>
    <x v="2"/>
    <x v="2"/>
    <x v="0"/>
    <n v="654489"/>
  </r>
  <r>
    <x v="305"/>
    <x v="2"/>
    <x v="2"/>
    <x v="2"/>
    <n v="257755"/>
  </r>
  <r>
    <x v="305"/>
    <x v="2"/>
    <x v="2"/>
    <x v="4"/>
    <n v="270883"/>
  </r>
  <r>
    <x v="306"/>
    <x v="0"/>
    <x v="0"/>
    <x v="0"/>
    <n v="55716"/>
  </r>
  <r>
    <x v="306"/>
    <x v="0"/>
    <x v="0"/>
    <x v="2"/>
    <n v="16179"/>
  </r>
  <r>
    <x v="306"/>
    <x v="0"/>
    <x v="0"/>
    <x v="4"/>
    <n v="5000"/>
  </r>
  <r>
    <x v="306"/>
    <x v="0"/>
    <x v="1"/>
    <x v="0"/>
    <n v="109660"/>
  </r>
  <r>
    <x v="306"/>
    <x v="0"/>
    <x v="1"/>
    <x v="2"/>
    <n v="38351"/>
  </r>
  <r>
    <x v="306"/>
    <x v="0"/>
    <x v="2"/>
    <x v="0"/>
    <n v="447953"/>
  </r>
  <r>
    <x v="306"/>
    <x v="0"/>
    <x v="2"/>
    <x v="1"/>
    <n v="379463"/>
  </r>
  <r>
    <x v="306"/>
    <x v="0"/>
    <x v="2"/>
    <x v="2"/>
    <n v="399171"/>
  </r>
  <r>
    <x v="306"/>
    <x v="0"/>
    <x v="2"/>
    <x v="3"/>
    <n v="40000"/>
  </r>
  <r>
    <x v="306"/>
    <x v="0"/>
    <x v="2"/>
    <x v="4"/>
    <n v="20000"/>
  </r>
  <r>
    <x v="306"/>
    <x v="0"/>
    <x v="2"/>
    <x v="6"/>
    <n v="2000"/>
  </r>
  <r>
    <x v="306"/>
    <x v="0"/>
    <x v="3"/>
    <x v="4"/>
    <n v="5000"/>
  </r>
  <r>
    <x v="306"/>
    <x v="2"/>
    <x v="1"/>
    <x v="0"/>
    <n v="69533"/>
  </r>
  <r>
    <x v="306"/>
    <x v="2"/>
    <x v="1"/>
    <x v="2"/>
    <n v="28310"/>
  </r>
  <r>
    <x v="306"/>
    <x v="2"/>
    <x v="2"/>
    <x v="0"/>
    <n v="88794"/>
  </r>
  <r>
    <x v="306"/>
    <x v="2"/>
    <x v="2"/>
    <x v="1"/>
    <n v="31443"/>
  </r>
  <r>
    <x v="306"/>
    <x v="2"/>
    <x v="2"/>
    <x v="2"/>
    <n v="5697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E1DA80A-0BF4-4E44-B029-FD495914F98B}"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A3:K2119" firstHeaderRow="1" firstDataRow="2" firstDataCol="3"/>
  <pivotFields count="5">
    <pivotField axis="axisRow" compact="0" outline="0" showAll="0" defaultSubtotal="0">
      <items count="30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s>
      <extLst>
        <ext xmlns:x14="http://schemas.microsoft.com/office/spreadsheetml/2009/9/main" uri="{2946ED86-A175-432a-8AC1-64E0C546D7DE}">
          <x14:pivotField fillDownLabels="1"/>
        </ext>
      </extLst>
    </pivotField>
    <pivotField axis="axisRow" compact="0" outline="0" showAll="0" defaultSubtotal="0">
      <items count="5">
        <item x="0"/>
        <item x="1"/>
        <item x="2"/>
        <item x="4"/>
        <item x="3"/>
      </items>
      <extLst>
        <ext xmlns:x14="http://schemas.microsoft.com/office/spreadsheetml/2009/9/main" uri="{2946ED86-A175-432a-8AC1-64E0C546D7DE}">
          <x14:pivotField fillDownLabels="1"/>
        </ext>
      </extLst>
    </pivotField>
    <pivotField axis="axisRow" compact="0" outline="0" showAll="0" defaultSubtotal="0">
      <items count="13">
        <item x="0"/>
        <item x="12"/>
        <item x="10"/>
        <item x="9"/>
        <item x="7"/>
        <item x="1"/>
        <item x="2"/>
        <item x="11"/>
        <item x="5"/>
        <item x="3"/>
        <item x="6"/>
        <item x="8"/>
        <item x="4"/>
      </items>
      <extLst>
        <ext xmlns:x14="http://schemas.microsoft.com/office/spreadsheetml/2009/9/main" uri="{2946ED86-A175-432a-8AC1-64E0C546D7DE}">
          <x14:pivotField fillDownLabels="1"/>
        </ext>
      </extLst>
    </pivotField>
    <pivotField axis="axisCol" compact="0" outline="0" showAll="0" defaultSubtotal="0">
      <items count="8">
        <item x="5"/>
        <item x="0"/>
        <item x="1"/>
        <item x="2"/>
        <item x="3"/>
        <item x="4"/>
        <item x="6"/>
        <item x="7"/>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3">
    <field x="0"/>
    <field x="1"/>
    <field x="2"/>
  </rowFields>
  <rowItems count="2115">
    <i>
      <x/>
      <x/>
      <x/>
    </i>
    <i r="2">
      <x v="5"/>
    </i>
    <i r="2">
      <x v="6"/>
    </i>
    <i r="2">
      <x v="9"/>
    </i>
    <i r="2">
      <x v="12"/>
    </i>
    <i r="1">
      <x v="1"/>
      <x v="5"/>
    </i>
    <i r="1">
      <x v="2"/>
      <x/>
    </i>
    <i r="2">
      <x v="5"/>
    </i>
    <i r="2">
      <x v="6"/>
    </i>
    <i>
      <x v="1"/>
      <x/>
      <x v="6"/>
    </i>
    <i r="1">
      <x v="2"/>
      <x v="6"/>
    </i>
    <i>
      <x v="2"/>
      <x/>
      <x/>
    </i>
    <i r="2">
      <x v="5"/>
    </i>
    <i r="2">
      <x v="6"/>
    </i>
    <i r="1">
      <x v="2"/>
      <x v="5"/>
    </i>
    <i>
      <x v="3"/>
      <x/>
      <x/>
    </i>
    <i r="2">
      <x v="5"/>
    </i>
    <i r="2">
      <x v="6"/>
    </i>
    <i r="2">
      <x v="9"/>
    </i>
    <i r="2">
      <x v="12"/>
    </i>
    <i r="1">
      <x v="2"/>
      <x v="5"/>
    </i>
    <i r="2">
      <x v="6"/>
    </i>
    <i>
      <x v="4"/>
      <x/>
      <x/>
    </i>
    <i r="2">
      <x v="5"/>
    </i>
    <i r="2">
      <x v="6"/>
    </i>
    <i r="2">
      <x v="8"/>
    </i>
    <i r="2">
      <x v="9"/>
    </i>
    <i r="1">
      <x v="1"/>
      <x v="6"/>
    </i>
    <i r="1">
      <x v="2"/>
      <x v="5"/>
    </i>
    <i r="2">
      <x v="6"/>
    </i>
    <i>
      <x v="5"/>
      <x/>
      <x/>
    </i>
    <i r="2">
      <x v="5"/>
    </i>
    <i r="2">
      <x v="6"/>
    </i>
    <i r="2">
      <x v="10"/>
    </i>
    <i r="1">
      <x v="2"/>
      <x/>
    </i>
    <i r="2">
      <x v="6"/>
    </i>
    <i>
      <x v="6"/>
      <x/>
      <x/>
    </i>
    <i r="2">
      <x v="4"/>
    </i>
    <i r="2">
      <x v="5"/>
    </i>
    <i r="2">
      <x v="6"/>
    </i>
    <i r="2">
      <x v="8"/>
    </i>
    <i r="2">
      <x v="9"/>
    </i>
    <i r="2">
      <x v="10"/>
    </i>
    <i r="2">
      <x v="11"/>
    </i>
    <i r="1">
      <x v="2"/>
      <x/>
    </i>
    <i r="2">
      <x v="5"/>
    </i>
    <i r="2">
      <x v="6"/>
    </i>
    <i r="2">
      <x v="8"/>
    </i>
    <i r="2">
      <x v="9"/>
    </i>
    <i r="2">
      <x v="11"/>
    </i>
    <i>
      <x v="7"/>
      <x/>
      <x/>
    </i>
    <i r="2">
      <x v="4"/>
    </i>
    <i r="2">
      <x v="5"/>
    </i>
    <i r="2">
      <x v="6"/>
    </i>
    <i r="2">
      <x v="9"/>
    </i>
    <i r="2">
      <x v="11"/>
    </i>
    <i r="2">
      <x v="12"/>
    </i>
    <i r="1">
      <x v="2"/>
      <x v="5"/>
    </i>
    <i r="2">
      <x v="6"/>
    </i>
    <i r="2">
      <x v="9"/>
    </i>
    <i>
      <x v="8"/>
      <x/>
      <x/>
    </i>
    <i r="2">
      <x v="4"/>
    </i>
    <i r="2">
      <x v="5"/>
    </i>
    <i r="2">
      <x v="6"/>
    </i>
    <i r="2">
      <x v="9"/>
    </i>
    <i r="2">
      <x v="10"/>
    </i>
    <i r="2">
      <x v="11"/>
    </i>
    <i r="2">
      <x v="12"/>
    </i>
    <i r="1">
      <x v="1"/>
      <x v="6"/>
    </i>
    <i r="1">
      <x v="2"/>
      <x v="5"/>
    </i>
    <i r="2">
      <x v="6"/>
    </i>
    <i>
      <x v="9"/>
      <x/>
      <x/>
    </i>
    <i r="2">
      <x v="3"/>
    </i>
    <i r="2">
      <x v="4"/>
    </i>
    <i r="2">
      <x v="5"/>
    </i>
    <i r="2">
      <x v="6"/>
    </i>
    <i r="2">
      <x v="9"/>
    </i>
    <i r="2">
      <x v="11"/>
    </i>
    <i r="2">
      <x v="12"/>
    </i>
    <i r="1">
      <x v="1"/>
      <x v="5"/>
    </i>
    <i r="2">
      <x v="6"/>
    </i>
    <i r="2">
      <x v="9"/>
    </i>
    <i r="1">
      <x v="2"/>
      <x v="3"/>
    </i>
    <i r="2">
      <x v="5"/>
    </i>
    <i r="2">
      <x v="6"/>
    </i>
    <i r="2">
      <x v="9"/>
    </i>
    <i>
      <x v="10"/>
      <x/>
      <x/>
    </i>
    <i r="2">
      <x v="3"/>
    </i>
    <i r="2">
      <x v="5"/>
    </i>
    <i r="2">
      <x v="6"/>
    </i>
    <i r="2">
      <x v="9"/>
    </i>
    <i r="1">
      <x v="2"/>
      <x v="5"/>
    </i>
    <i r="2">
      <x v="6"/>
    </i>
    <i r="2">
      <x v="9"/>
    </i>
    <i>
      <x v="11"/>
      <x/>
      <x/>
    </i>
    <i r="2">
      <x v="3"/>
    </i>
    <i r="2">
      <x v="4"/>
    </i>
    <i r="2">
      <x v="5"/>
    </i>
    <i r="2">
      <x v="6"/>
    </i>
    <i r="2">
      <x v="8"/>
    </i>
    <i r="2">
      <x v="9"/>
    </i>
    <i r="1">
      <x v="2"/>
      <x/>
    </i>
    <i r="2">
      <x v="5"/>
    </i>
    <i r="2">
      <x v="6"/>
    </i>
    <i r="1">
      <x v="4"/>
      <x v="5"/>
    </i>
    <i r="2">
      <x v="6"/>
    </i>
    <i r="2">
      <x v="11"/>
    </i>
    <i>
      <x v="12"/>
      <x/>
      <x v="6"/>
    </i>
    <i>
      <x v="13"/>
      <x/>
      <x/>
    </i>
    <i r="2">
      <x v="5"/>
    </i>
    <i r="2">
      <x v="6"/>
    </i>
    <i r="2">
      <x v="9"/>
    </i>
    <i r="1">
      <x v="2"/>
      <x v="5"/>
    </i>
    <i r="2">
      <x v="6"/>
    </i>
    <i>
      <x v="14"/>
      <x/>
      <x v="6"/>
    </i>
    <i r="2">
      <x v="8"/>
    </i>
    <i r="1">
      <x v="2"/>
      <x v="5"/>
    </i>
    <i>
      <x v="15"/>
      <x/>
      <x/>
    </i>
    <i r="2">
      <x v="4"/>
    </i>
    <i r="2">
      <x v="5"/>
    </i>
    <i r="2">
      <x v="6"/>
    </i>
    <i r="2">
      <x v="9"/>
    </i>
    <i r="2">
      <x v="12"/>
    </i>
    <i r="1">
      <x v="1"/>
      <x v="5"/>
    </i>
    <i r="2">
      <x v="6"/>
    </i>
    <i r="2">
      <x v="9"/>
    </i>
    <i r="1">
      <x v="2"/>
      <x v="5"/>
    </i>
    <i r="2">
      <x v="6"/>
    </i>
    <i r="2">
      <x v="9"/>
    </i>
    <i r="1">
      <x v="4"/>
      <x/>
    </i>
    <i>
      <x v="16"/>
      <x/>
      <x/>
    </i>
    <i r="2">
      <x v="5"/>
    </i>
    <i r="2">
      <x v="6"/>
    </i>
    <i r="2">
      <x v="9"/>
    </i>
    <i r="2">
      <x v="10"/>
    </i>
    <i r="2">
      <x v="11"/>
    </i>
    <i r="1">
      <x v="1"/>
      <x v="6"/>
    </i>
    <i r="1">
      <x v="2"/>
      <x v="6"/>
    </i>
    <i>
      <x v="17"/>
      <x/>
      <x/>
    </i>
    <i r="2">
      <x v="6"/>
    </i>
    <i r="2">
      <x v="9"/>
    </i>
    <i r="2">
      <x v="10"/>
    </i>
    <i r="1">
      <x v="2"/>
      <x/>
    </i>
    <i r="2">
      <x v="6"/>
    </i>
    <i>
      <x v="18"/>
      <x/>
      <x/>
    </i>
    <i r="2">
      <x v="5"/>
    </i>
    <i r="2">
      <x v="6"/>
    </i>
    <i r="2">
      <x v="9"/>
    </i>
    <i r="2">
      <x v="11"/>
    </i>
    <i r="2">
      <x v="12"/>
    </i>
    <i r="1">
      <x v="2"/>
      <x v="5"/>
    </i>
    <i r="2">
      <x v="6"/>
    </i>
    <i r="2">
      <x v="9"/>
    </i>
    <i>
      <x v="19"/>
      <x/>
      <x/>
    </i>
    <i r="2">
      <x v="5"/>
    </i>
    <i r="2">
      <x v="6"/>
    </i>
    <i r="2">
      <x v="9"/>
    </i>
    <i r="2">
      <x v="12"/>
    </i>
    <i r="1">
      <x v="1"/>
      <x v="6"/>
    </i>
    <i r="2">
      <x v="9"/>
    </i>
    <i r="1">
      <x v="2"/>
      <x v="5"/>
    </i>
    <i r="2">
      <x v="6"/>
    </i>
    <i r="2">
      <x v="9"/>
    </i>
    <i>
      <x v="20"/>
      <x/>
      <x/>
    </i>
    <i r="2">
      <x v="4"/>
    </i>
    <i r="2">
      <x v="5"/>
    </i>
    <i r="2">
      <x v="6"/>
    </i>
    <i r="2">
      <x v="8"/>
    </i>
    <i r="2">
      <x v="9"/>
    </i>
    <i r="2">
      <x v="12"/>
    </i>
    <i r="1">
      <x v="1"/>
      <x v="6"/>
    </i>
    <i r="1">
      <x v="2"/>
      <x v="6"/>
    </i>
    <i>
      <x v="21"/>
      <x/>
      <x/>
    </i>
    <i r="2">
      <x v="5"/>
    </i>
    <i r="2">
      <x v="6"/>
    </i>
    <i r="2">
      <x v="10"/>
    </i>
    <i r="2">
      <x v="12"/>
    </i>
    <i r="1">
      <x v="2"/>
      <x v="5"/>
    </i>
    <i r="2">
      <x v="6"/>
    </i>
    <i r="1">
      <x v="4"/>
      <x v="6"/>
    </i>
    <i>
      <x v="22"/>
      <x/>
      <x v="6"/>
    </i>
    <i r="2">
      <x v="8"/>
    </i>
    <i r="1">
      <x v="2"/>
      <x v="6"/>
    </i>
    <i>
      <x v="23"/>
      <x/>
      <x/>
    </i>
    <i r="2">
      <x v="5"/>
    </i>
    <i r="2">
      <x v="6"/>
    </i>
    <i r="2">
      <x v="9"/>
    </i>
    <i r="2">
      <x v="10"/>
    </i>
    <i r="2">
      <x v="12"/>
    </i>
    <i r="1">
      <x v="2"/>
      <x v="6"/>
    </i>
    <i>
      <x v="24"/>
      <x/>
      <x/>
    </i>
    <i r="2">
      <x v="5"/>
    </i>
    <i r="2">
      <x v="6"/>
    </i>
    <i r="2">
      <x v="9"/>
    </i>
    <i r="2">
      <x v="10"/>
    </i>
    <i r="1">
      <x v="2"/>
      <x/>
    </i>
    <i r="2">
      <x v="6"/>
    </i>
    <i>
      <x v="25"/>
      <x/>
      <x/>
    </i>
    <i r="2">
      <x v="5"/>
    </i>
    <i r="2">
      <x v="6"/>
    </i>
    <i r="2">
      <x v="12"/>
    </i>
    <i r="1">
      <x v="1"/>
      <x v="5"/>
    </i>
    <i r="1">
      <x v="2"/>
      <x v="6"/>
    </i>
    <i>
      <x v="26"/>
      <x/>
      <x/>
    </i>
    <i r="2">
      <x v="5"/>
    </i>
    <i r="2">
      <x v="6"/>
    </i>
    <i r="2">
      <x v="12"/>
    </i>
    <i r="1">
      <x v="2"/>
      <x v="5"/>
    </i>
    <i>
      <x v="27"/>
      <x/>
      <x v="6"/>
    </i>
    <i>
      <x v="28"/>
      <x/>
      <x/>
    </i>
    <i r="2">
      <x v="5"/>
    </i>
    <i r="2">
      <x v="6"/>
    </i>
    <i r="2">
      <x v="9"/>
    </i>
    <i r="2">
      <x v="12"/>
    </i>
    <i r="1">
      <x v="1"/>
      <x v="6"/>
    </i>
    <i r="1">
      <x v="2"/>
      <x v="6"/>
    </i>
    <i r="1">
      <x v="4"/>
      <x v="6"/>
    </i>
    <i r="2">
      <x v="9"/>
    </i>
    <i>
      <x v="29"/>
      <x/>
      <x/>
    </i>
    <i r="2">
      <x v="3"/>
    </i>
    <i r="2">
      <x v="4"/>
    </i>
    <i r="2">
      <x v="5"/>
    </i>
    <i r="2">
      <x v="6"/>
    </i>
    <i r="2">
      <x v="9"/>
    </i>
    <i r="2">
      <x v="10"/>
    </i>
    <i r="2">
      <x v="12"/>
    </i>
    <i r="1">
      <x v="2"/>
      <x v="3"/>
    </i>
    <i r="2">
      <x v="6"/>
    </i>
    <i r="2">
      <x v="9"/>
    </i>
    <i>
      <x v="30"/>
      <x/>
      <x/>
    </i>
    <i r="2">
      <x v="4"/>
    </i>
    <i r="2">
      <x v="5"/>
    </i>
    <i r="2">
      <x v="6"/>
    </i>
    <i r="2">
      <x v="8"/>
    </i>
    <i r="2">
      <x v="9"/>
    </i>
    <i r="2">
      <x v="10"/>
    </i>
    <i r="2">
      <x v="12"/>
    </i>
    <i r="1">
      <x v="2"/>
      <x v="6"/>
    </i>
    <i>
      <x v="31"/>
      <x/>
      <x/>
    </i>
    <i r="2">
      <x v="4"/>
    </i>
    <i r="2">
      <x v="5"/>
    </i>
    <i r="2">
      <x v="6"/>
    </i>
    <i r="2">
      <x v="9"/>
    </i>
    <i r="2">
      <x v="12"/>
    </i>
    <i r="1">
      <x v="2"/>
      <x v="6"/>
    </i>
    <i>
      <x v="32"/>
      <x/>
      <x/>
    </i>
    <i r="2">
      <x v="3"/>
    </i>
    <i r="2">
      <x v="4"/>
    </i>
    <i r="2">
      <x v="5"/>
    </i>
    <i r="2">
      <x v="6"/>
    </i>
    <i r="2">
      <x v="9"/>
    </i>
    <i r="2">
      <x v="12"/>
    </i>
    <i r="1">
      <x v="2"/>
      <x v="6"/>
    </i>
    <i r="2">
      <x v="9"/>
    </i>
    <i>
      <x v="33"/>
      <x/>
      <x/>
    </i>
    <i r="2">
      <x v="5"/>
    </i>
    <i r="2">
      <x v="6"/>
    </i>
    <i r="2">
      <x v="10"/>
    </i>
    <i r="2">
      <x v="12"/>
    </i>
    <i r="1">
      <x v="1"/>
      <x v="6"/>
    </i>
    <i r="2">
      <x v="9"/>
    </i>
    <i r="1">
      <x v="2"/>
      <x v="6"/>
    </i>
    <i>
      <x v="34"/>
      <x/>
      <x/>
    </i>
    <i r="2">
      <x v="4"/>
    </i>
    <i r="2">
      <x v="5"/>
    </i>
    <i r="2">
      <x v="6"/>
    </i>
    <i r="2">
      <x v="9"/>
    </i>
    <i r="2">
      <x v="12"/>
    </i>
    <i r="1">
      <x v="2"/>
      <x v="6"/>
    </i>
    <i r="2">
      <x v="9"/>
    </i>
    <i>
      <x v="35"/>
      <x/>
      <x/>
    </i>
    <i r="2">
      <x v="5"/>
    </i>
    <i r="2">
      <x v="6"/>
    </i>
    <i r="2">
      <x v="9"/>
    </i>
    <i r="2">
      <x v="12"/>
    </i>
    <i r="1">
      <x v="1"/>
      <x v="6"/>
    </i>
    <i r="1">
      <x v="2"/>
      <x v="6"/>
    </i>
    <i r="2">
      <x v="9"/>
    </i>
    <i>
      <x v="36"/>
      <x/>
      <x/>
    </i>
    <i r="2">
      <x v="2"/>
    </i>
    <i r="2">
      <x v="5"/>
    </i>
    <i r="2">
      <x v="6"/>
    </i>
    <i r="2">
      <x v="9"/>
    </i>
    <i r="2">
      <x v="12"/>
    </i>
    <i r="1">
      <x v="2"/>
      <x v="6"/>
    </i>
    <i>
      <x v="37"/>
      <x/>
      <x/>
    </i>
    <i r="2">
      <x v="3"/>
    </i>
    <i r="2">
      <x v="5"/>
    </i>
    <i r="2">
      <x v="6"/>
    </i>
    <i r="2">
      <x v="9"/>
    </i>
    <i r="1">
      <x v="2"/>
      <x/>
    </i>
    <i r="2">
      <x v="5"/>
    </i>
    <i r="2">
      <x v="6"/>
    </i>
    <i r="2">
      <x v="9"/>
    </i>
    <i r="1">
      <x v="3"/>
      <x v="2"/>
    </i>
    <i r="2">
      <x v="3"/>
    </i>
    <i r="2">
      <x v="5"/>
    </i>
    <i r="2">
      <x v="6"/>
    </i>
    <i r="2">
      <x v="9"/>
    </i>
    <i r="1">
      <x v="4"/>
      <x v="6"/>
    </i>
    <i>
      <x v="38"/>
      <x/>
      <x/>
    </i>
    <i r="2">
      <x v="5"/>
    </i>
    <i r="2">
      <x v="6"/>
    </i>
    <i r="2">
      <x v="9"/>
    </i>
    <i r="2">
      <x v="12"/>
    </i>
    <i r="1">
      <x v="2"/>
      <x v="6"/>
    </i>
    <i>
      <x v="39"/>
      <x/>
      <x/>
    </i>
    <i r="2">
      <x v="4"/>
    </i>
    <i r="2">
      <x v="5"/>
    </i>
    <i r="2">
      <x v="6"/>
    </i>
    <i r="2">
      <x v="11"/>
    </i>
    <i r="2">
      <x v="12"/>
    </i>
    <i r="1">
      <x v="1"/>
      <x v="6"/>
    </i>
    <i r="1">
      <x v="2"/>
      <x v="6"/>
    </i>
    <i>
      <x v="40"/>
      <x/>
      <x/>
    </i>
    <i r="2">
      <x v="6"/>
    </i>
    <i r="1">
      <x v="2"/>
      <x v="5"/>
    </i>
    <i>
      <x v="41"/>
      <x/>
      <x v="5"/>
    </i>
    <i r="2">
      <x v="6"/>
    </i>
    <i r="2">
      <x v="12"/>
    </i>
    <i r="1">
      <x v="2"/>
      <x v="5"/>
    </i>
    <i r="1">
      <x v="4"/>
      <x v="5"/>
    </i>
    <i>
      <x v="42"/>
      <x/>
      <x/>
    </i>
    <i r="2">
      <x v="5"/>
    </i>
    <i r="2">
      <x v="6"/>
    </i>
    <i r="2">
      <x v="9"/>
    </i>
    <i r="2">
      <x v="12"/>
    </i>
    <i r="1">
      <x v="2"/>
      <x/>
    </i>
    <i r="2">
      <x v="5"/>
    </i>
    <i r="2">
      <x v="6"/>
    </i>
    <i r="2">
      <x v="9"/>
    </i>
    <i>
      <x v="43"/>
      <x/>
      <x/>
    </i>
    <i r="2">
      <x v="5"/>
    </i>
    <i r="2">
      <x v="6"/>
    </i>
    <i r="2">
      <x v="9"/>
    </i>
    <i r="2">
      <x v="11"/>
    </i>
    <i r="2">
      <x v="12"/>
    </i>
    <i r="1">
      <x v="2"/>
      <x v="5"/>
    </i>
    <i r="2">
      <x v="6"/>
    </i>
    <i r="2">
      <x v="9"/>
    </i>
    <i>
      <x v="44"/>
      <x/>
      <x/>
    </i>
    <i r="2">
      <x v="4"/>
    </i>
    <i r="2">
      <x v="5"/>
    </i>
    <i r="2">
      <x v="6"/>
    </i>
    <i r="2">
      <x v="8"/>
    </i>
    <i r="2">
      <x v="9"/>
    </i>
    <i r="2">
      <x v="11"/>
    </i>
    <i r="2">
      <x v="12"/>
    </i>
    <i r="1">
      <x v="2"/>
      <x v="5"/>
    </i>
    <i r="2">
      <x v="6"/>
    </i>
    <i>
      <x v="45"/>
      <x/>
      <x/>
    </i>
    <i r="2">
      <x v="5"/>
    </i>
    <i r="2">
      <x v="6"/>
    </i>
    <i r="2">
      <x v="8"/>
    </i>
    <i r="2">
      <x v="9"/>
    </i>
    <i r="2">
      <x v="11"/>
    </i>
    <i r="1">
      <x v="2"/>
      <x v="5"/>
    </i>
    <i>
      <x v="46"/>
      <x/>
      <x v="5"/>
    </i>
    <i r="2">
      <x v="6"/>
    </i>
    <i r="1">
      <x v="2"/>
      <x v="5"/>
    </i>
    <i>
      <x v="47"/>
      <x/>
      <x v="2"/>
    </i>
    <i r="2">
      <x v="6"/>
    </i>
    <i r="2">
      <x v="8"/>
    </i>
    <i r="2">
      <x v="10"/>
    </i>
    <i r="2">
      <x v="11"/>
    </i>
    <i r="1">
      <x v="2"/>
      <x v="5"/>
    </i>
    <i>
      <x v="48"/>
      <x/>
      <x/>
    </i>
    <i r="2">
      <x v="5"/>
    </i>
    <i r="2">
      <x v="6"/>
    </i>
    <i r="2">
      <x v="8"/>
    </i>
    <i r="2">
      <x v="9"/>
    </i>
    <i r="1">
      <x v="1"/>
      <x v="6"/>
    </i>
    <i r="1">
      <x v="2"/>
      <x v="5"/>
    </i>
    <i r="2">
      <x v="6"/>
    </i>
    <i>
      <x v="49"/>
      <x/>
      <x v="2"/>
    </i>
    <i r="2">
      <x v="5"/>
    </i>
    <i r="2">
      <x v="6"/>
    </i>
    <i r="2">
      <x v="9"/>
    </i>
    <i r="2">
      <x v="10"/>
    </i>
    <i r="2">
      <x v="11"/>
    </i>
    <i r="1">
      <x v="2"/>
      <x v="6"/>
    </i>
    <i>
      <x v="50"/>
      <x/>
      <x v="5"/>
    </i>
    <i r="2">
      <x v="6"/>
    </i>
    <i r="1">
      <x v="2"/>
      <x v="5"/>
    </i>
    <i>
      <x v="51"/>
      <x/>
      <x v="6"/>
    </i>
    <i r="2">
      <x v="12"/>
    </i>
    <i r="1">
      <x v="2"/>
      <x v="5"/>
    </i>
    <i>
      <x v="52"/>
      <x/>
      <x/>
    </i>
    <i r="2">
      <x v="2"/>
    </i>
    <i r="2">
      <x v="5"/>
    </i>
    <i r="2">
      <x v="6"/>
    </i>
    <i r="1">
      <x v="2"/>
      <x v="6"/>
    </i>
    <i r="1">
      <x v="4"/>
      <x v="6"/>
    </i>
    <i r="2">
      <x v="10"/>
    </i>
    <i>
      <x v="53"/>
      <x/>
      <x v="3"/>
    </i>
    <i r="2">
      <x v="5"/>
    </i>
    <i r="2">
      <x v="10"/>
    </i>
    <i r="2">
      <x v="11"/>
    </i>
    <i>
      <x v="54"/>
      <x/>
      <x/>
    </i>
    <i r="2">
      <x v="5"/>
    </i>
    <i r="2">
      <x v="6"/>
    </i>
    <i r="2">
      <x v="8"/>
    </i>
    <i r="2">
      <x v="9"/>
    </i>
    <i r="1">
      <x v="1"/>
      <x v="6"/>
    </i>
    <i r="2">
      <x v="9"/>
    </i>
    <i r="1">
      <x v="2"/>
      <x v="5"/>
    </i>
    <i r="2">
      <x v="6"/>
    </i>
    <i r="2">
      <x v="9"/>
    </i>
    <i>
      <x v="55"/>
      <x/>
      <x/>
    </i>
    <i r="2">
      <x v="5"/>
    </i>
    <i r="2">
      <x v="6"/>
    </i>
    <i r="2">
      <x v="9"/>
    </i>
    <i r="2">
      <x v="10"/>
    </i>
    <i r="2">
      <x v="11"/>
    </i>
    <i r="2">
      <x v="12"/>
    </i>
    <i r="1">
      <x v="2"/>
      <x v="5"/>
    </i>
    <i>
      <x v="56"/>
      <x/>
      <x v="8"/>
    </i>
    <i>
      <x v="57"/>
      <x/>
      <x/>
    </i>
    <i r="2">
      <x v="4"/>
    </i>
    <i r="2">
      <x v="5"/>
    </i>
    <i r="2">
      <x v="6"/>
    </i>
    <i r="2">
      <x v="9"/>
    </i>
    <i r="1">
      <x v="1"/>
      <x v="6"/>
    </i>
    <i r="1">
      <x v="2"/>
      <x v="6"/>
    </i>
    <i r="2">
      <x v="9"/>
    </i>
    <i>
      <x v="58"/>
      <x/>
      <x/>
    </i>
    <i r="2">
      <x v="4"/>
    </i>
    <i r="2">
      <x v="5"/>
    </i>
    <i r="2">
      <x v="6"/>
    </i>
    <i r="2">
      <x v="9"/>
    </i>
    <i r="2">
      <x v="11"/>
    </i>
    <i r="2">
      <x v="12"/>
    </i>
    <i r="1">
      <x v="2"/>
      <x v="5"/>
    </i>
    <i r="2">
      <x v="6"/>
    </i>
    <i r="2">
      <x v="8"/>
    </i>
    <i>
      <x v="59"/>
      <x/>
      <x v="8"/>
    </i>
    <i>
      <x v="60"/>
      <x/>
      <x/>
    </i>
    <i r="2">
      <x v="4"/>
    </i>
    <i r="2">
      <x v="5"/>
    </i>
    <i r="2">
      <x v="6"/>
    </i>
    <i r="2">
      <x v="9"/>
    </i>
    <i r="2">
      <x v="10"/>
    </i>
    <i r="2">
      <x v="11"/>
    </i>
    <i r="2">
      <x v="12"/>
    </i>
    <i r="1">
      <x v="1"/>
      <x v="6"/>
    </i>
    <i r="1">
      <x v="2"/>
      <x v="6"/>
    </i>
    <i>
      <x v="61"/>
      <x/>
      <x/>
    </i>
    <i r="2">
      <x v="5"/>
    </i>
    <i r="2">
      <x v="6"/>
    </i>
    <i r="2">
      <x v="9"/>
    </i>
    <i r="1">
      <x v="2"/>
      <x/>
    </i>
    <i r="2">
      <x v="5"/>
    </i>
    <i r="2">
      <x v="6"/>
    </i>
    <i r="2">
      <x v="9"/>
    </i>
    <i>
      <x v="62"/>
      <x/>
      <x/>
    </i>
    <i r="2">
      <x v="4"/>
    </i>
    <i r="2">
      <x v="5"/>
    </i>
    <i r="2">
      <x v="6"/>
    </i>
    <i r="2">
      <x v="9"/>
    </i>
    <i r="2">
      <x v="10"/>
    </i>
    <i r="2">
      <x v="11"/>
    </i>
    <i r="2">
      <x v="12"/>
    </i>
    <i r="1">
      <x v="1"/>
      <x v="6"/>
    </i>
    <i r="2">
      <x v="9"/>
    </i>
    <i r="1">
      <x v="2"/>
      <x v="6"/>
    </i>
    <i>
      <x v="63"/>
      <x/>
      <x v="5"/>
    </i>
    <i r="2">
      <x v="6"/>
    </i>
    <i r="1">
      <x v="2"/>
      <x v="6"/>
    </i>
    <i>
      <x v="64"/>
      <x/>
      <x/>
    </i>
    <i r="2">
      <x v="3"/>
    </i>
    <i r="2">
      <x v="5"/>
    </i>
    <i r="2">
      <x v="6"/>
    </i>
    <i r="2">
      <x v="9"/>
    </i>
    <i r="2">
      <x v="11"/>
    </i>
    <i r="2">
      <x v="12"/>
    </i>
    <i r="1">
      <x v="2"/>
      <x v="5"/>
    </i>
    <i r="2">
      <x v="6"/>
    </i>
    <i r="2">
      <x v="9"/>
    </i>
    <i r="2">
      <x v="11"/>
    </i>
    <i>
      <x v="65"/>
      <x/>
      <x/>
    </i>
    <i r="2">
      <x v="3"/>
    </i>
    <i r="2">
      <x v="4"/>
    </i>
    <i r="2">
      <x v="5"/>
    </i>
    <i r="2">
      <x v="6"/>
    </i>
    <i r="2">
      <x v="9"/>
    </i>
    <i r="2">
      <x v="10"/>
    </i>
    <i r="2">
      <x v="11"/>
    </i>
    <i r="2">
      <x v="12"/>
    </i>
    <i r="1">
      <x v="2"/>
      <x/>
    </i>
    <i r="2">
      <x v="4"/>
    </i>
    <i r="2">
      <x v="6"/>
    </i>
    <i>
      <x v="66"/>
      <x/>
      <x/>
    </i>
    <i r="2">
      <x v="5"/>
    </i>
    <i r="2">
      <x v="6"/>
    </i>
    <i r="2">
      <x v="9"/>
    </i>
    <i r="2">
      <x v="10"/>
    </i>
    <i r="2">
      <x v="11"/>
    </i>
    <i r="1">
      <x v="2"/>
      <x v="5"/>
    </i>
    <i r="2">
      <x v="6"/>
    </i>
    <i>
      <x v="67"/>
      <x/>
      <x/>
    </i>
    <i r="2">
      <x v="5"/>
    </i>
    <i r="2">
      <x v="6"/>
    </i>
    <i r="2">
      <x v="12"/>
    </i>
    <i r="1">
      <x v="2"/>
      <x v="6"/>
    </i>
    <i>
      <x v="68"/>
      <x/>
      <x v="6"/>
    </i>
    <i r="2">
      <x v="9"/>
    </i>
    <i r="1">
      <x v="2"/>
      <x v="6"/>
    </i>
    <i>
      <x v="69"/>
      <x/>
      <x/>
    </i>
    <i r="2">
      <x v="5"/>
    </i>
    <i r="2">
      <x v="6"/>
    </i>
    <i r="2">
      <x v="9"/>
    </i>
    <i r="1">
      <x v="2"/>
      <x/>
    </i>
    <i r="2">
      <x v="5"/>
    </i>
    <i r="2">
      <x v="6"/>
    </i>
    <i r="2">
      <x v="9"/>
    </i>
    <i>
      <x v="70"/>
      <x/>
      <x/>
    </i>
    <i r="2">
      <x v="5"/>
    </i>
    <i r="2">
      <x v="6"/>
    </i>
    <i r="2">
      <x v="9"/>
    </i>
    <i r="2">
      <x v="10"/>
    </i>
    <i r="2">
      <x v="11"/>
    </i>
    <i r="1">
      <x v="1"/>
      <x v="5"/>
    </i>
    <i r="2">
      <x v="6"/>
    </i>
    <i r="2">
      <x v="9"/>
    </i>
    <i r="2">
      <x v="10"/>
    </i>
    <i r="1">
      <x v="2"/>
      <x v="5"/>
    </i>
    <i r="2">
      <x v="6"/>
    </i>
    <i r="2">
      <x v="9"/>
    </i>
    <i>
      <x v="71"/>
      <x/>
      <x/>
    </i>
    <i r="2">
      <x v="4"/>
    </i>
    <i r="2">
      <x v="5"/>
    </i>
    <i r="2">
      <x v="6"/>
    </i>
    <i r="2">
      <x v="9"/>
    </i>
    <i r="2">
      <x v="10"/>
    </i>
    <i r="2">
      <x v="11"/>
    </i>
    <i r="2">
      <x v="12"/>
    </i>
    <i r="1">
      <x v="2"/>
      <x v="6"/>
    </i>
    <i>
      <x v="72"/>
      <x/>
      <x v="6"/>
    </i>
    <i r="2">
      <x v="8"/>
    </i>
    <i r="2">
      <x v="9"/>
    </i>
    <i r="1">
      <x v="2"/>
      <x v="5"/>
    </i>
    <i>
      <x v="73"/>
      <x/>
      <x/>
    </i>
    <i r="2">
      <x v="4"/>
    </i>
    <i r="2">
      <x v="5"/>
    </i>
    <i r="2">
      <x v="6"/>
    </i>
    <i r="2">
      <x v="8"/>
    </i>
    <i r="2">
      <x v="9"/>
    </i>
    <i r="2">
      <x v="10"/>
    </i>
    <i r="2">
      <x v="11"/>
    </i>
    <i r="2">
      <x v="12"/>
    </i>
    <i r="1">
      <x v="1"/>
      <x/>
    </i>
    <i r="2">
      <x v="6"/>
    </i>
    <i r="1">
      <x v="2"/>
      <x/>
    </i>
    <i r="2">
      <x v="3"/>
    </i>
    <i r="2">
      <x v="5"/>
    </i>
    <i r="2">
      <x v="6"/>
    </i>
    <i r="2">
      <x v="8"/>
    </i>
    <i>
      <x v="74"/>
      <x/>
      <x/>
    </i>
    <i r="2">
      <x v="2"/>
    </i>
    <i r="2">
      <x v="4"/>
    </i>
    <i r="2">
      <x v="5"/>
    </i>
    <i r="2">
      <x v="6"/>
    </i>
    <i r="2">
      <x v="9"/>
    </i>
    <i r="2">
      <x v="10"/>
    </i>
    <i r="2">
      <x v="12"/>
    </i>
    <i r="1">
      <x v="1"/>
      <x v="6"/>
    </i>
    <i r="1">
      <x v="2"/>
      <x v="4"/>
    </i>
    <i r="2">
      <x v="6"/>
    </i>
    <i>
      <x v="75"/>
      <x/>
      <x/>
    </i>
    <i r="2">
      <x v="5"/>
    </i>
    <i r="2">
      <x v="6"/>
    </i>
    <i r="2">
      <x v="9"/>
    </i>
    <i r="1">
      <x v="2"/>
      <x v="5"/>
    </i>
    <i>
      <x v="76"/>
      <x/>
      <x/>
    </i>
    <i r="2">
      <x v="5"/>
    </i>
    <i r="2">
      <x v="6"/>
    </i>
    <i r="2">
      <x v="8"/>
    </i>
    <i r="2">
      <x v="9"/>
    </i>
    <i r="2">
      <x v="10"/>
    </i>
    <i r="2">
      <x v="11"/>
    </i>
    <i r="2">
      <x v="12"/>
    </i>
    <i r="1">
      <x v="2"/>
      <x v="6"/>
    </i>
    <i r="2">
      <x v="9"/>
    </i>
    <i>
      <x v="77"/>
      <x/>
      <x/>
    </i>
    <i r="2">
      <x v="4"/>
    </i>
    <i r="2">
      <x v="5"/>
    </i>
    <i r="2">
      <x v="6"/>
    </i>
    <i r="2">
      <x v="7"/>
    </i>
    <i r="2">
      <x v="9"/>
    </i>
    <i r="2">
      <x v="10"/>
    </i>
    <i r="2">
      <x v="11"/>
    </i>
    <i r="2">
      <x v="12"/>
    </i>
    <i r="1">
      <x v="2"/>
      <x v="4"/>
    </i>
    <i r="2">
      <x v="6"/>
    </i>
    <i r="2">
      <x v="9"/>
    </i>
    <i r="1">
      <x v="4"/>
      <x v="6"/>
    </i>
    <i>
      <x v="78"/>
      <x/>
      <x/>
    </i>
    <i r="2">
      <x v="4"/>
    </i>
    <i r="2">
      <x v="5"/>
    </i>
    <i r="2">
      <x v="6"/>
    </i>
    <i r="2">
      <x v="8"/>
    </i>
    <i r="2">
      <x v="9"/>
    </i>
    <i r="2">
      <x v="11"/>
    </i>
    <i r="1">
      <x v="1"/>
      <x v="6"/>
    </i>
    <i r="1">
      <x v="2"/>
      <x v="6"/>
    </i>
    <i>
      <x v="79"/>
      <x/>
      <x/>
    </i>
    <i r="2">
      <x v="5"/>
    </i>
    <i r="2">
      <x v="6"/>
    </i>
    <i r="1">
      <x v="2"/>
      <x v="6"/>
    </i>
    <i>
      <x v="80"/>
      <x/>
      <x/>
    </i>
    <i r="2">
      <x v="3"/>
    </i>
    <i r="2">
      <x v="5"/>
    </i>
    <i r="2">
      <x v="6"/>
    </i>
    <i r="2">
      <x v="9"/>
    </i>
    <i r="1">
      <x v="2"/>
      <x v="5"/>
    </i>
    <i r="2">
      <x v="6"/>
    </i>
    <i>
      <x v="81"/>
      <x/>
      <x/>
    </i>
    <i r="2">
      <x v="2"/>
    </i>
    <i r="2">
      <x v="5"/>
    </i>
    <i r="2">
      <x v="6"/>
    </i>
    <i r="2">
      <x v="9"/>
    </i>
    <i r="2">
      <x v="10"/>
    </i>
    <i r="1">
      <x v="2"/>
      <x v="6"/>
    </i>
    <i>
      <x v="82"/>
      <x/>
      <x v="6"/>
    </i>
    <i r="1">
      <x v="2"/>
      <x v="5"/>
    </i>
    <i>
      <x v="83"/>
      <x/>
      <x v="8"/>
    </i>
    <i>
      <x v="84"/>
      <x/>
      <x v="6"/>
    </i>
    <i>
      <x v="85"/>
      <x/>
      <x/>
    </i>
    <i r="2">
      <x v="5"/>
    </i>
    <i r="2">
      <x v="6"/>
    </i>
    <i r="2">
      <x v="7"/>
    </i>
    <i r="2">
      <x v="9"/>
    </i>
    <i r="2">
      <x v="12"/>
    </i>
    <i r="1">
      <x v="2"/>
      <x v="5"/>
    </i>
    <i r="2">
      <x v="6"/>
    </i>
    <i r="1">
      <x v="4"/>
      <x/>
    </i>
    <i r="2">
      <x v="5"/>
    </i>
    <i>
      <x v="86"/>
      <x/>
      <x/>
    </i>
    <i r="2">
      <x v="5"/>
    </i>
    <i r="2">
      <x v="6"/>
    </i>
    <i r="2">
      <x v="9"/>
    </i>
    <i r="2">
      <x v="10"/>
    </i>
    <i r="2">
      <x v="12"/>
    </i>
    <i r="1">
      <x v="1"/>
      <x/>
    </i>
    <i r="2">
      <x v="5"/>
    </i>
    <i r="2">
      <x v="6"/>
    </i>
    <i r="1">
      <x v="2"/>
      <x v="6"/>
    </i>
    <i>
      <x v="87"/>
      <x/>
      <x/>
    </i>
    <i r="2">
      <x v="3"/>
    </i>
    <i r="2">
      <x v="5"/>
    </i>
    <i r="2">
      <x v="6"/>
    </i>
    <i r="1">
      <x v="2"/>
      <x v="6"/>
    </i>
    <i>
      <x v="88"/>
      <x/>
      <x/>
    </i>
    <i r="2">
      <x v="3"/>
    </i>
    <i r="2">
      <x v="4"/>
    </i>
    <i r="2">
      <x v="5"/>
    </i>
    <i r="2">
      <x v="6"/>
    </i>
    <i r="2">
      <x v="8"/>
    </i>
    <i r="1">
      <x v="2"/>
      <x v="3"/>
    </i>
    <i r="2">
      <x v="5"/>
    </i>
    <i r="2">
      <x v="6"/>
    </i>
    <i>
      <x v="89"/>
      <x/>
      <x v="6"/>
    </i>
    <i r="2">
      <x v="8"/>
    </i>
    <i r="2">
      <x v="12"/>
    </i>
    <i r="1">
      <x v="2"/>
      <x v="8"/>
    </i>
    <i>
      <x v="90"/>
      <x/>
      <x v="5"/>
    </i>
    <i r="2">
      <x v="6"/>
    </i>
    <i r="1">
      <x v="2"/>
      <x v="5"/>
    </i>
    <i>
      <x v="91"/>
      <x/>
      <x v="8"/>
    </i>
    <i>
      <x v="92"/>
      <x/>
      <x/>
    </i>
    <i r="2">
      <x v="2"/>
    </i>
    <i r="2">
      <x v="5"/>
    </i>
    <i r="2">
      <x v="6"/>
    </i>
    <i r="2">
      <x v="10"/>
    </i>
    <i r="1">
      <x v="2"/>
      <x v="5"/>
    </i>
    <i r="2">
      <x v="6"/>
    </i>
    <i>
      <x v="93"/>
      <x/>
      <x v="5"/>
    </i>
    <i r="2">
      <x v="6"/>
    </i>
    <i r="2">
      <x v="12"/>
    </i>
    <i r="1">
      <x v="2"/>
      <x v="6"/>
    </i>
    <i>
      <x v="94"/>
      <x/>
      <x/>
    </i>
    <i r="2">
      <x v="3"/>
    </i>
    <i r="2">
      <x v="5"/>
    </i>
    <i r="2">
      <x v="6"/>
    </i>
    <i r="2">
      <x v="9"/>
    </i>
    <i r="2">
      <x v="11"/>
    </i>
    <i r="1">
      <x v="2"/>
      <x v="6"/>
    </i>
    <i>
      <x v="95"/>
      <x/>
      <x/>
    </i>
    <i r="2">
      <x v="3"/>
    </i>
    <i r="2">
      <x v="5"/>
    </i>
    <i r="2">
      <x v="6"/>
    </i>
    <i r="2">
      <x v="11"/>
    </i>
    <i r="2">
      <x v="12"/>
    </i>
    <i r="1">
      <x v="1"/>
      <x v="6"/>
    </i>
    <i r="1">
      <x v="2"/>
      <x/>
    </i>
    <i r="2">
      <x v="6"/>
    </i>
    <i r="2">
      <x v="10"/>
    </i>
    <i>
      <x v="96"/>
      <x/>
      <x/>
    </i>
    <i r="2">
      <x v="3"/>
    </i>
    <i r="2">
      <x v="5"/>
    </i>
    <i r="2">
      <x v="6"/>
    </i>
    <i r="2">
      <x v="9"/>
    </i>
    <i r="2">
      <x v="11"/>
    </i>
    <i r="1">
      <x v="2"/>
      <x v="6"/>
    </i>
    <i>
      <x v="97"/>
      <x/>
      <x/>
    </i>
    <i r="2">
      <x v="5"/>
    </i>
    <i r="2">
      <x v="6"/>
    </i>
    <i r="1">
      <x v="2"/>
      <x v="5"/>
    </i>
    <i r="2">
      <x v="6"/>
    </i>
    <i>
      <x v="98"/>
      <x/>
      <x/>
    </i>
    <i r="2">
      <x v="5"/>
    </i>
    <i r="2">
      <x v="6"/>
    </i>
    <i r="2">
      <x v="9"/>
    </i>
    <i r="2">
      <x v="10"/>
    </i>
    <i r="2">
      <x v="11"/>
    </i>
    <i r="2">
      <x v="12"/>
    </i>
    <i r="1">
      <x v="2"/>
      <x/>
    </i>
    <i r="2">
      <x v="6"/>
    </i>
    <i>
      <x v="99"/>
      <x/>
      <x v="2"/>
    </i>
    <i r="2">
      <x v="5"/>
    </i>
    <i r="2">
      <x v="6"/>
    </i>
    <i r="1">
      <x v="2"/>
      <x v="5"/>
    </i>
    <i>
      <x v="100"/>
      <x/>
      <x v="2"/>
    </i>
    <i r="2">
      <x v="5"/>
    </i>
    <i r="2">
      <x v="6"/>
    </i>
    <i r="2">
      <x v="10"/>
    </i>
    <i r="1">
      <x v="2"/>
      <x v="5"/>
    </i>
    <i r="2">
      <x v="6"/>
    </i>
    <i>
      <x v="101"/>
      <x/>
      <x v="2"/>
    </i>
    <i r="2">
      <x v="5"/>
    </i>
    <i r="2">
      <x v="6"/>
    </i>
    <i r="2">
      <x v="9"/>
    </i>
    <i r="2">
      <x v="10"/>
    </i>
    <i r="2">
      <x v="11"/>
    </i>
    <i r="1">
      <x v="2"/>
      <x v="5"/>
    </i>
    <i>
      <x v="102"/>
      <x/>
      <x v="5"/>
    </i>
    <i r="2">
      <x v="6"/>
    </i>
    <i r="1">
      <x v="2"/>
      <x v="5"/>
    </i>
    <i r="1">
      <x v="4"/>
      <x v="6"/>
    </i>
    <i>
      <x v="103"/>
      <x/>
      <x v="5"/>
    </i>
    <i r="2">
      <x v="6"/>
    </i>
    <i r="2">
      <x v="9"/>
    </i>
    <i r="2">
      <x v="11"/>
    </i>
    <i r="2">
      <x v="12"/>
    </i>
    <i r="1">
      <x v="2"/>
      <x v="6"/>
    </i>
    <i>
      <x v="104"/>
      <x/>
      <x/>
    </i>
    <i r="2">
      <x v="2"/>
    </i>
    <i r="2">
      <x v="5"/>
    </i>
    <i r="2">
      <x v="6"/>
    </i>
    <i r="2">
      <x v="8"/>
    </i>
    <i r="2">
      <x v="11"/>
    </i>
    <i r="1">
      <x v="2"/>
      <x/>
    </i>
    <i r="2">
      <x v="5"/>
    </i>
    <i r="2">
      <x v="6"/>
    </i>
    <i r="2">
      <x v="8"/>
    </i>
    <i r="2">
      <x v="9"/>
    </i>
    <i>
      <x v="105"/>
      <x/>
      <x v="6"/>
    </i>
    <i r="2">
      <x v="8"/>
    </i>
    <i>
      <x v="106"/>
      <x/>
      <x v="8"/>
    </i>
    <i>
      <x v="107"/>
      <x/>
      <x v="5"/>
    </i>
    <i r="2">
      <x v="6"/>
    </i>
    <i r="1">
      <x v="2"/>
      <x v="6"/>
    </i>
    <i r="1">
      <x v="4"/>
      <x v="8"/>
    </i>
    <i>
      <x v="108"/>
      <x/>
      <x/>
    </i>
    <i r="2">
      <x v="4"/>
    </i>
    <i r="2">
      <x v="5"/>
    </i>
    <i r="2">
      <x v="6"/>
    </i>
    <i r="2">
      <x v="9"/>
    </i>
    <i r="2">
      <x v="10"/>
    </i>
    <i r="2">
      <x v="11"/>
    </i>
    <i r="1">
      <x v="1"/>
      <x v="6"/>
    </i>
    <i r="1">
      <x v="2"/>
      <x v="6"/>
    </i>
    <i r="2">
      <x v="9"/>
    </i>
    <i>
      <x v="109"/>
      <x/>
      <x/>
    </i>
    <i r="2">
      <x v="2"/>
    </i>
    <i r="2">
      <x v="5"/>
    </i>
    <i r="2">
      <x v="6"/>
    </i>
    <i r="2">
      <x v="9"/>
    </i>
    <i r="2">
      <x v="12"/>
    </i>
    <i r="1">
      <x v="1"/>
      <x v="4"/>
    </i>
    <i r="2">
      <x v="5"/>
    </i>
    <i r="2">
      <x v="6"/>
    </i>
    <i r="2">
      <x v="9"/>
    </i>
    <i r="1">
      <x v="2"/>
      <x/>
    </i>
    <i r="2">
      <x v="5"/>
    </i>
    <i r="2">
      <x v="6"/>
    </i>
    <i r="2">
      <x v="9"/>
    </i>
    <i r="2">
      <x v="10"/>
    </i>
    <i r="2">
      <x v="11"/>
    </i>
    <i r="1">
      <x v="4"/>
      <x v="6"/>
    </i>
    <i>
      <x v="110"/>
      <x/>
      <x/>
    </i>
    <i r="2">
      <x v="2"/>
    </i>
    <i r="2">
      <x v="3"/>
    </i>
    <i r="2">
      <x v="5"/>
    </i>
    <i r="2">
      <x v="6"/>
    </i>
    <i r="2">
      <x v="9"/>
    </i>
    <i r="2">
      <x v="11"/>
    </i>
    <i r="1">
      <x v="1"/>
      <x v="6"/>
    </i>
    <i r="1">
      <x v="2"/>
      <x v="3"/>
    </i>
    <i r="2">
      <x v="6"/>
    </i>
    <i r="2">
      <x v="8"/>
    </i>
    <i r="2">
      <x v="9"/>
    </i>
    <i>
      <x v="111"/>
      <x/>
      <x/>
    </i>
    <i r="2">
      <x v="2"/>
    </i>
    <i r="2">
      <x v="4"/>
    </i>
    <i r="2">
      <x v="5"/>
    </i>
    <i r="2">
      <x v="6"/>
    </i>
    <i r="2">
      <x v="9"/>
    </i>
    <i r="2">
      <x v="11"/>
    </i>
    <i r="2">
      <x v="12"/>
    </i>
    <i r="1">
      <x v="1"/>
      <x v="6"/>
    </i>
    <i r="1">
      <x v="2"/>
      <x v="6"/>
    </i>
    <i>
      <x v="112"/>
      <x/>
      <x/>
    </i>
    <i r="2">
      <x v="4"/>
    </i>
    <i r="2">
      <x v="5"/>
    </i>
    <i r="2">
      <x v="6"/>
    </i>
    <i r="2">
      <x v="9"/>
    </i>
    <i r="2">
      <x v="11"/>
    </i>
    <i r="2">
      <x v="12"/>
    </i>
    <i r="1">
      <x v="2"/>
      <x v="5"/>
    </i>
    <i r="2">
      <x v="6"/>
    </i>
    <i r="2">
      <x v="9"/>
    </i>
    <i>
      <x v="113"/>
      <x/>
      <x v="5"/>
    </i>
    <i r="2">
      <x v="6"/>
    </i>
    <i r="2">
      <x v="9"/>
    </i>
    <i r="2">
      <x v="12"/>
    </i>
    <i r="1">
      <x v="2"/>
      <x v="6"/>
    </i>
    <i>
      <x v="114"/>
      <x/>
      <x v="8"/>
    </i>
    <i>
      <x v="115"/>
      <x/>
      <x/>
    </i>
    <i r="2">
      <x v="2"/>
    </i>
    <i r="2">
      <x v="5"/>
    </i>
    <i r="2">
      <x v="6"/>
    </i>
    <i r="2">
      <x v="8"/>
    </i>
    <i r="2">
      <x v="9"/>
    </i>
    <i r="1">
      <x v="2"/>
      <x v="5"/>
    </i>
    <i r="2">
      <x v="6"/>
    </i>
    <i r="2">
      <x v="8"/>
    </i>
    <i>
      <x v="116"/>
      <x/>
      <x/>
    </i>
    <i r="2">
      <x v="5"/>
    </i>
    <i r="2">
      <x v="6"/>
    </i>
    <i r="2">
      <x v="8"/>
    </i>
    <i r="2">
      <x v="9"/>
    </i>
    <i r="1">
      <x v="2"/>
      <x v="6"/>
    </i>
    <i r="2">
      <x v="9"/>
    </i>
    <i r="1">
      <x v="4"/>
      <x v="6"/>
    </i>
    <i>
      <x v="117"/>
      <x/>
      <x v="6"/>
    </i>
    <i r="1">
      <x v="1"/>
      <x v="6"/>
    </i>
    <i r="1">
      <x v="2"/>
      <x v="6"/>
    </i>
    <i>
      <x v="118"/>
      <x/>
      <x/>
    </i>
    <i r="2">
      <x v="5"/>
    </i>
    <i r="2">
      <x v="6"/>
    </i>
    <i r="2">
      <x v="9"/>
    </i>
    <i r="2">
      <x v="10"/>
    </i>
    <i r="2">
      <x v="12"/>
    </i>
    <i r="1">
      <x v="1"/>
      <x/>
    </i>
    <i r="1">
      <x v="2"/>
      <x/>
    </i>
    <i r="2">
      <x v="6"/>
    </i>
    <i>
      <x v="119"/>
      <x/>
      <x v="8"/>
    </i>
    <i r="1">
      <x v="4"/>
      <x v="8"/>
    </i>
    <i>
      <x v="120"/>
      <x/>
      <x/>
    </i>
    <i r="2">
      <x v="3"/>
    </i>
    <i r="2">
      <x v="5"/>
    </i>
    <i r="2">
      <x v="6"/>
    </i>
    <i r="2">
      <x v="8"/>
    </i>
    <i r="2">
      <x v="9"/>
    </i>
    <i r="2">
      <x v="10"/>
    </i>
    <i r="2">
      <x v="11"/>
    </i>
    <i r="2">
      <x v="12"/>
    </i>
    <i r="1">
      <x v="2"/>
      <x v="5"/>
    </i>
    <i r="2">
      <x v="6"/>
    </i>
    <i>
      <x v="121"/>
      <x/>
      <x/>
    </i>
    <i r="2">
      <x v="2"/>
    </i>
    <i r="2">
      <x v="3"/>
    </i>
    <i r="2">
      <x v="5"/>
    </i>
    <i r="2">
      <x v="6"/>
    </i>
    <i r="2">
      <x v="8"/>
    </i>
    <i r="2">
      <x v="9"/>
    </i>
    <i r="2">
      <x v="11"/>
    </i>
    <i r="1">
      <x v="2"/>
      <x/>
    </i>
    <i r="2">
      <x v="5"/>
    </i>
    <i r="2">
      <x v="6"/>
    </i>
    <i>
      <x v="122"/>
      <x/>
      <x/>
    </i>
    <i r="2">
      <x v="5"/>
    </i>
    <i r="2">
      <x v="6"/>
    </i>
    <i r="2">
      <x v="9"/>
    </i>
    <i r="2">
      <x v="11"/>
    </i>
    <i r="2">
      <x v="12"/>
    </i>
    <i r="1">
      <x v="2"/>
      <x v="5"/>
    </i>
    <i r="2">
      <x v="6"/>
    </i>
    <i r="2">
      <x v="9"/>
    </i>
    <i>
      <x v="123"/>
      <x/>
      <x v="5"/>
    </i>
    <i r="2">
      <x v="6"/>
    </i>
    <i r="1">
      <x v="1"/>
      <x v="5"/>
    </i>
    <i r="1">
      <x v="2"/>
      <x v="5"/>
    </i>
    <i>
      <x v="124"/>
      <x/>
      <x/>
    </i>
    <i r="2">
      <x v="5"/>
    </i>
    <i r="2">
      <x v="6"/>
    </i>
    <i r="2">
      <x v="9"/>
    </i>
    <i r="2">
      <x v="11"/>
    </i>
    <i r="1">
      <x v="1"/>
      <x v="6"/>
    </i>
    <i r="2">
      <x v="9"/>
    </i>
    <i r="2">
      <x v="10"/>
    </i>
    <i r="2">
      <x v="11"/>
    </i>
    <i r="1">
      <x v="2"/>
      <x v="6"/>
    </i>
    <i>
      <x v="125"/>
      <x/>
      <x v="5"/>
    </i>
    <i r="2">
      <x v="6"/>
    </i>
    <i r="2">
      <x v="10"/>
    </i>
    <i r="1">
      <x v="2"/>
      <x v="5"/>
    </i>
    <i>
      <x v="126"/>
      <x/>
      <x/>
    </i>
    <i r="2">
      <x v="2"/>
    </i>
    <i r="2">
      <x v="5"/>
    </i>
    <i r="2">
      <x v="6"/>
    </i>
    <i r="2">
      <x v="8"/>
    </i>
    <i r="2">
      <x v="9"/>
    </i>
    <i r="2">
      <x v="10"/>
    </i>
    <i r="2">
      <x v="12"/>
    </i>
    <i r="1">
      <x v="1"/>
      <x v="5"/>
    </i>
    <i r="2">
      <x v="6"/>
    </i>
    <i r="2">
      <x v="9"/>
    </i>
    <i r="1">
      <x v="2"/>
      <x v="6"/>
    </i>
    <i r="2">
      <x v="9"/>
    </i>
    <i>
      <x v="127"/>
      <x/>
      <x v="5"/>
    </i>
    <i r="2">
      <x v="6"/>
    </i>
    <i r="2">
      <x v="11"/>
    </i>
    <i r="1">
      <x v="2"/>
      <x v="5"/>
    </i>
    <i r="2">
      <x v="6"/>
    </i>
    <i>
      <x v="128"/>
      <x/>
      <x/>
    </i>
    <i r="2">
      <x v="5"/>
    </i>
    <i r="2">
      <x v="6"/>
    </i>
    <i r="2">
      <x v="9"/>
    </i>
    <i r="1">
      <x v="2"/>
      <x v="5"/>
    </i>
    <i>
      <x v="129"/>
      <x/>
      <x v="6"/>
    </i>
    <i r="2">
      <x v="9"/>
    </i>
    <i r="2">
      <x v="10"/>
    </i>
    <i r="1">
      <x v="2"/>
      <x v="6"/>
    </i>
    <i>
      <x v="130"/>
      <x/>
      <x v="8"/>
    </i>
    <i>
      <x v="131"/>
      <x/>
      <x/>
    </i>
    <i r="2">
      <x v="4"/>
    </i>
    <i r="2">
      <x v="5"/>
    </i>
    <i r="2">
      <x v="6"/>
    </i>
    <i r="2">
      <x v="9"/>
    </i>
    <i r="2">
      <x v="10"/>
    </i>
    <i r="2">
      <x v="11"/>
    </i>
    <i r="1">
      <x v="2"/>
      <x v="5"/>
    </i>
    <i r="2">
      <x v="6"/>
    </i>
    <i r="2">
      <x v="9"/>
    </i>
    <i>
      <x v="132"/>
      <x/>
      <x/>
    </i>
    <i r="2">
      <x v="3"/>
    </i>
    <i r="2">
      <x v="5"/>
    </i>
    <i r="2">
      <x v="6"/>
    </i>
    <i r="2">
      <x v="9"/>
    </i>
    <i r="2">
      <x v="10"/>
    </i>
    <i r="2">
      <x v="11"/>
    </i>
    <i r="1">
      <x v="2"/>
      <x v="6"/>
    </i>
    <i>
      <x v="133"/>
      <x/>
      <x/>
    </i>
    <i r="2">
      <x v="6"/>
    </i>
    <i r="2">
      <x v="11"/>
    </i>
    <i>
      <x v="134"/>
      <x/>
      <x/>
    </i>
    <i r="2">
      <x v="5"/>
    </i>
    <i r="2">
      <x v="6"/>
    </i>
    <i r="2">
      <x v="9"/>
    </i>
    <i r="2">
      <x v="12"/>
    </i>
    <i r="1">
      <x v="2"/>
      <x/>
    </i>
    <i r="2">
      <x v="6"/>
    </i>
    <i r="2">
      <x v="9"/>
    </i>
    <i r="2">
      <x v="10"/>
    </i>
    <i>
      <x v="135"/>
      <x/>
      <x v="6"/>
    </i>
    <i r="2">
      <x v="8"/>
    </i>
    <i r="2">
      <x v="9"/>
    </i>
    <i r="2">
      <x v="11"/>
    </i>
    <i r="2">
      <x v="12"/>
    </i>
    <i r="1">
      <x v="2"/>
      <x v="5"/>
    </i>
    <i r="2">
      <x v="6"/>
    </i>
    <i>
      <x v="136"/>
      <x/>
      <x/>
    </i>
    <i r="2">
      <x v="2"/>
    </i>
    <i r="2">
      <x v="5"/>
    </i>
    <i r="2">
      <x v="6"/>
    </i>
    <i r="2">
      <x v="9"/>
    </i>
    <i r="1">
      <x v="2"/>
      <x v="5"/>
    </i>
    <i r="2">
      <x v="6"/>
    </i>
    <i r="1">
      <x v="4"/>
      <x v="6"/>
    </i>
    <i>
      <x v="137"/>
      <x/>
      <x/>
    </i>
    <i r="2">
      <x v="3"/>
    </i>
    <i r="2">
      <x v="4"/>
    </i>
    <i r="2">
      <x v="5"/>
    </i>
    <i r="2">
      <x v="6"/>
    </i>
    <i r="2">
      <x v="9"/>
    </i>
    <i r="2">
      <x v="12"/>
    </i>
    <i r="1">
      <x v="1"/>
      <x v="6"/>
    </i>
    <i r="1">
      <x v="2"/>
      <x/>
    </i>
    <i r="2">
      <x v="6"/>
    </i>
    <i r="2">
      <x v="8"/>
    </i>
    <i r="2">
      <x v="9"/>
    </i>
    <i r="2">
      <x v="11"/>
    </i>
    <i r="1">
      <x v="4"/>
      <x v="6"/>
    </i>
    <i>
      <x v="138"/>
      <x/>
      <x/>
    </i>
    <i r="2">
      <x v="5"/>
    </i>
    <i r="2">
      <x v="6"/>
    </i>
    <i r="1">
      <x v="2"/>
      <x v="5"/>
    </i>
    <i r="2">
      <x v="6"/>
    </i>
    <i>
      <x v="139"/>
      <x/>
      <x/>
    </i>
    <i r="2">
      <x v="3"/>
    </i>
    <i r="2">
      <x v="5"/>
    </i>
    <i r="2">
      <x v="6"/>
    </i>
    <i r="2">
      <x v="9"/>
    </i>
    <i r="2">
      <x v="10"/>
    </i>
    <i r="2">
      <x v="11"/>
    </i>
    <i r="2">
      <x v="12"/>
    </i>
    <i r="1">
      <x v="2"/>
      <x/>
    </i>
    <i r="2">
      <x v="3"/>
    </i>
    <i r="2">
      <x v="5"/>
    </i>
    <i r="2">
      <x v="6"/>
    </i>
    <i r="2">
      <x v="9"/>
    </i>
    <i r="2">
      <x v="10"/>
    </i>
    <i>
      <x v="140"/>
      <x/>
      <x/>
    </i>
    <i r="2">
      <x v="5"/>
    </i>
    <i r="2">
      <x v="6"/>
    </i>
    <i r="2">
      <x v="9"/>
    </i>
    <i r="2">
      <x v="12"/>
    </i>
    <i r="1">
      <x v="2"/>
      <x v="6"/>
    </i>
    <i r="1">
      <x v="3"/>
      <x/>
    </i>
    <i r="2">
      <x v="5"/>
    </i>
    <i r="2">
      <x v="6"/>
    </i>
    <i r="2">
      <x v="12"/>
    </i>
    <i r="1">
      <x v="4"/>
      <x v="6"/>
    </i>
    <i>
      <x v="141"/>
      <x/>
      <x/>
    </i>
    <i r="2">
      <x v="3"/>
    </i>
    <i r="2">
      <x v="4"/>
    </i>
    <i r="2">
      <x v="5"/>
    </i>
    <i r="2">
      <x v="6"/>
    </i>
    <i r="2">
      <x v="9"/>
    </i>
    <i r="2">
      <x v="11"/>
    </i>
    <i r="2">
      <x v="12"/>
    </i>
    <i r="1">
      <x v="1"/>
      <x v="5"/>
    </i>
    <i r="2">
      <x v="6"/>
    </i>
    <i r="2">
      <x v="9"/>
    </i>
    <i r="2">
      <x v="11"/>
    </i>
    <i r="1">
      <x v="2"/>
      <x v="3"/>
    </i>
    <i r="2">
      <x v="5"/>
    </i>
    <i r="2">
      <x v="6"/>
    </i>
    <i r="2">
      <x v="9"/>
    </i>
    <i r="2">
      <x v="11"/>
    </i>
    <i>
      <x v="142"/>
      <x/>
      <x/>
    </i>
    <i r="2">
      <x v="4"/>
    </i>
    <i r="2">
      <x v="5"/>
    </i>
    <i r="2">
      <x v="6"/>
    </i>
    <i r="2">
      <x v="9"/>
    </i>
    <i r="2">
      <x v="12"/>
    </i>
    <i r="1">
      <x v="1"/>
      <x v="6"/>
    </i>
    <i r="2">
      <x v="9"/>
    </i>
    <i r="1">
      <x v="2"/>
      <x v="6"/>
    </i>
    <i r="2">
      <x v="9"/>
    </i>
    <i>
      <x v="143"/>
      <x/>
      <x v="5"/>
    </i>
    <i r="2">
      <x v="6"/>
    </i>
    <i>
      <x v="144"/>
      <x/>
      <x v="6"/>
    </i>
    <i>
      <x v="145"/>
      <x/>
      <x/>
    </i>
    <i r="2">
      <x v="4"/>
    </i>
    <i r="2">
      <x v="5"/>
    </i>
    <i r="2">
      <x v="6"/>
    </i>
    <i r="2">
      <x v="9"/>
    </i>
    <i r="2">
      <x v="11"/>
    </i>
    <i r="2">
      <x v="12"/>
    </i>
    <i r="1">
      <x v="1"/>
      <x v="6"/>
    </i>
    <i r="1">
      <x v="2"/>
      <x v="5"/>
    </i>
    <i r="2">
      <x v="6"/>
    </i>
    <i r="2">
      <x v="9"/>
    </i>
    <i>
      <x v="146"/>
      <x/>
      <x/>
    </i>
    <i r="2">
      <x v="5"/>
    </i>
    <i r="2">
      <x v="6"/>
    </i>
    <i r="2">
      <x v="12"/>
    </i>
    <i r="1">
      <x v="1"/>
      <x v="5"/>
    </i>
    <i r="2">
      <x v="6"/>
    </i>
    <i r="1">
      <x v="2"/>
      <x v="5"/>
    </i>
    <i r="2">
      <x v="6"/>
    </i>
    <i>
      <x v="147"/>
      <x/>
      <x v="6"/>
    </i>
    <i r="2">
      <x v="8"/>
    </i>
    <i r="2">
      <x v="9"/>
    </i>
    <i r="2">
      <x v="11"/>
    </i>
    <i r="2">
      <x v="12"/>
    </i>
    <i r="1">
      <x v="2"/>
      <x v="5"/>
    </i>
    <i r="2">
      <x v="6"/>
    </i>
    <i>
      <x v="148"/>
      <x/>
      <x/>
    </i>
    <i r="2">
      <x v="3"/>
    </i>
    <i r="2">
      <x v="4"/>
    </i>
    <i r="2">
      <x v="5"/>
    </i>
    <i r="2">
      <x v="6"/>
    </i>
    <i r="2">
      <x v="9"/>
    </i>
    <i r="2">
      <x v="10"/>
    </i>
    <i r="1">
      <x v="2"/>
      <x v="6"/>
    </i>
    <i>
      <x v="149"/>
      <x/>
      <x v="6"/>
    </i>
    <i r="2">
      <x v="8"/>
    </i>
    <i r="2">
      <x v="12"/>
    </i>
    <i r="1">
      <x v="2"/>
      <x v="5"/>
    </i>
    <i>
      <x v="150"/>
      <x/>
      <x/>
    </i>
    <i r="2">
      <x v="2"/>
    </i>
    <i r="2">
      <x v="3"/>
    </i>
    <i r="2">
      <x v="5"/>
    </i>
    <i r="2">
      <x v="6"/>
    </i>
    <i r="1">
      <x v="2"/>
      <x v="5"/>
    </i>
    <i r="2">
      <x v="6"/>
    </i>
    <i>
      <x v="151"/>
      <x/>
      <x/>
    </i>
    <i r="2">
      <x v="5"/>
    </i>
    <i r="2">
      <x v="6"/>
    </i>
    <i r="2">
      <x v="8"/>
    </i>
    <i r="1">
      <x v="2"/>
      <x v="6"/>
    </i>
    <i r="2">
      <x v="8"/>
    </i>
    <i>
      <x v="152"/>
      <x/>
      <x v="6"/>
    </i>
    <i>
      <x v="153"/>
      <x/>
      <x/>
    </i>
    <i r="2">
      <x v="5"/>
    </i>
    <i r="2">
      <x v="6"/>
    </i>
    <i r="2">
      <x v="9"/>
    </i>
    <i r="2">
      <x v="10"/>
    </i>
    <i r="1">
      <x v="1"/>
      <x v="6"/>
    </i>
    <i r="1">
      <x v="2"/>
      <x v="5"/>
    </i>
    <i r="2">
      <x v="6"/>
    </i>
    <i>
      <x v="154"/>
      <x/>
      <x/>
    </i>
    <i r="2">
      <x v="5"/>
    </i>
    <i r="2">
      <x v="6"/>
    </i>
    <i r="2">
      <x v="8"/>
    </i>
    <i r="2">
      <x v="9"/>
    </i>
    <i r="2">
      <x v="12"/>
    </i>
    <i r="1">
      <x v="2"/>
      <x/>
    </i>
    <i r="2">
      <x v="5"/>
    </i>
    <i r="2">
      <x v="6"/>
    </i>
    <i>
      <x v="155"/>
      <x/>
      <x/>
    </i>
    <i r="2">
      <x v="4"/>
    </i>
    <i r="2">
      <x v="5"/>
    </i>
    <i r="2">
      <x v="6"/>
    </i>
    <i r="2">
      <x v="8"/>
    </i>
    <i r="2">
      <x v="9"/>
    </i>
    <i r="2">
      <x v="12"/>
    </i>
    <i r="1">
      <x v="2"/>
      <x v="4"/>
    </i>
    <i r="2">
      <x v="6"/>
    </i>
    <i>
      <x v="156"/>
      <x/>
      <x v="4"/>
    </i>
    <i r="2">
      <x v="5"/>
    </i>
    <i r="2">
      <x v="6"/>
    </i>
    <i r="2">
      <x v="8"/>
    </i>
    <i r="2">
      <x v="12"/>
    </i>
    <i r="1">
      <x v="1"/>
      <x v="6"/>
    </i>
    <i r="1">
      <x v="2"/>
      <x v="5"/>
    </i>
    <i r="2">
      <x v="6"/>
    </i>
    <i r="2">
      <x v="10"/>
    </i>
    <i>
      <x v="157"/>
      <x/>
      <x v="6"/>
    </i>
    <i>
      <x v="158"/>
      <x/>
      <x/>
    </i>
    <i r="2">
      <x v="5"/>
    </i>
    <i r="2">
      <x v="6"/>
    </i>
    <i r="1">
      <x v="2"/>
      <x v="5"/>
    </i>
    <i r="2">
      <x v="6"/>
    </i>
    <i r="1">
      <x v="4"/>
      <x v="5"/>
    </i>
    <i r="2">
      <x v="8"/>
    </i>
    <i>
      <x v="159"/>
      <x/>
      <x/>
    </i>
    <i r="2">
      <x v="5"/>
    </i>
    <i r="2">
      <x v="6"/>
    </i>
    <i r="1">
      <x v="2"/>
      <x v="6"/>
    </i>
    <i r="2">
      <x v="9"/>
    </i>
    <i>
      <x v="160"/>
      <x/>
      <x/>
    </i>
    <i r="2">
      <x v="5"/>
    </i>
    <i r="2">
      <x v="6"/>
    </i>
    <i r="2">
      <x v="9"/>
    </i>
    <i r="2">
      <x v="10"/>
    </i>
    <i r="2">
      <x v="11"/>
    </i>
    <i r="1">
      <x v="2"/>
      <x v="5"/>
    </i>
    <i r="2">
      <x v="6"/>
    </i>
    <i>
      <x v="161"/>
      <x/>
      <x/>
    </i>
    <i r="2">
      <x v="5"/>
    </i>
    <i r="2">
      <x v="6"/>
    </i>
    <i r="2">
      <x v="9"/>
    </i>
    <i r="2">
      <x v="11"/>
    </i>
    <i r="2">
      <x v="12"/>
    </i>
    <i r="1">
      <x v="1"/>
      <x v="5"/>
    </i>
    <i r="2">
      <x v="6"/>
    </i>
    <i r="1">
      <x v="2"/>
      <x v="6"/>
    </i>
    <i r="2">
      <x v="9"/>
    </i>
    <i>
      <x v="162"/>
      <x/>
      <x/>
    </i>
    <i r="2">
      <x v="5"/>
    </i>
    <i r="2">
      <x v="6"/>
    </i>
    <i r="2">
      <x v="9"/>
    </i>
    <i r="2">
      <x v="10"/>
    </i>
    <i r="2">
      <x v="11"/>
    </i>
    <i r="2">
      <x v="12"/>
    </i>
    <i r="1">
      <x v="2"/>
      <x v="5"/>
    </i>
    <i r="2">
      <x v="6"/>
    </i>
    <i r="1">
      <x v="4"/>
      <x v="6"/>
    </i>
    <i>
      <x v="163"/>
      <x/>
      <x/>
    </i>
    <i r="2">
      <x v="5"/>
    </i>
    <i r="2">
      <x v="6"/>
    </i>
    <i r="2">
      <x v="9"/>
    </i>
    <i r="2">
      <x v="10"/>
    </i>
    <i r="2">
      <x v="11"/>
    </i>
    <i r="1">
      <x v="2"/>
      <x v="6"/>
    </i>
    <i>
      <x v="164"/>
      <x/>
      <x/>
    </i>
    <i r="2">
      <x v="4"/>
    </i>
    <i r="2">
      <x v="5"/>
    </i>
    <i r="2">
      <x v="6"/>
    </i>
    <i r="2">
      <x v="8"/>
    </i>
    <i r="2">
      <x v="9"/>
    </i>
    <i r="2">
      <x v="12"/>
    </i>
    <i r="1">
      <x v="2"/>
      <x v="6"/>
    </i>
    <i r="1">
      <x v="4"/>
      <x v="6"/>
    </i>
    <i r="2">
      <x v="9"/>
    </i>
    <i>
      <x v="165"/>
      <x/>
      <x/>
    </i>
    <i r="2">
      <x v="2"/>
    </i>
    <i r="2">
      <x v="5"/>
    </i>
    <i r="2">
      <x v="6"/>
    </i>
    <i r="2">
      <x v="12"/>
    </i>
    <i r="1">
      <x v="1"/>
      <x v="6"/>
    </i>
    <i r="1">
      <x v="2"/>
      <x v="5"/>
    </i>
    <i r="2">
      <x v="6"/>
    </i>
    <i>
      <x v="166"/>
      <x/>
      <x v="5"/>
    </i>
    <i r="2">
      <x v="6"/>
    </i>
    <i r="1">
      <x v="2"/>
      <x v="5"/>
    </i>
    <i>
      <x v="167"/>
      <x/>
      <x/>
    </i>
    <i r="2">
      <x v="5"/>
    </i>
    <i r="2">
      <x v="6"/>
    </i>
    <i r="2">
      <x v="9"/>
    </i>
    <i r="2">
      <x v="10"/>
    </i>
    <i r="2">
      <x v="11"/>
    </i>
    <i r="2">
      <x v="12"/>
    </i>
    <i r="1">
      <x v="1"/>
      <x v="6"/>
    </i>
    <i r="2">
      <x v="11"/>
    </i>
    <i r="1">
      <x v="2"/>
      <x v="6"/>
    </i>
    <i r="1">
      <x v="4"/>
      <x/>
    </i>
    <i>
      <x v="168"/>
      <x/>
      <x v="6"/>
    </i>
    <i r="2">
      <x v="9"/>
    </i>
    <i r="2">
      <x v="11"/>
    </i>
    <i r="1">
      <x v="2"/>
      <x v="5"/>
    </i>
    <i>
      <x v="169"/>
      <x/>
      <x/>
    </i>
    <i r="2">
      <x v="2"/>
    </i>
    <i r="2">
      <x v="3"/>
    </i>
    <i r="2">
      <x v="5"/>
    </i>
    <i r="2">
      <x v="6"/>
    </i>
    <i r="2">
      <x v="8"/>
    </i>
    <i r="2">
      <x v="9"/>
    </i>
    <i r="2">
      <x v="11"/>
    </i>
    <i r="2">
      <x v="12"/>
    </i>
    <i r="1">
      <x v="1"/>
      <x v="6"/>
    </i>
    <i r="1">
      <x v="2"/>
      <x/>
    </i>
    <i r="2">
      <x v="5"/>
    </i>
    <i r="2">
      <x v="6"/>
    </i>
    <i r="2">
      <x v="8"/>
    </i>
    <i r="2">
      <x v="9"/>
    </i>
    <i>
      <x v="170"/>
      <x/>
      <x/>
    </i>
    <i r="2">
      <x v="5"/>
    </i>
    <i r="2">
      <x v="6"/>
    </i>
    <i r="2">
      <x v="9"/>
    </i>
    <i r="2">
      <x v="12"/>
    </i>
    <i r="1">
      <x v="1"/>
      <x v="6"/>
    </i>
    <i r="1">
      <x v="2"/>
      <x v="6"/>
    </i>
    <i r="1">
      <x v="4"/>
      <x v="5"/>
    </i>
    <i>
      <x v="171"/>
      <x/>
      <x/>
    </i>
    <i r="2">
      <x v="5"/>
    </i>
    <i r="2">
      <x v="6"/>
    </i>
    <i r="1">
      <x v="2"/>
      <x v="5"/>
    </i>
    <i>
      <x v="172"/>
      <x/>
      <x v="5"/>
    </i>
    <i r="2">
      <x v="6"/>
    </i>
    <i r="2">
      <x v="12"/>
    </i>
    <i r="1">
      <x v="2"/>
      <x v="5"/>
    </i>
    <i r="2">
      <x v="6"/>
    </i>
    <i r="1">
      <x v="4"/>
      <x v="5"/>
    </i>
    <i r="2">
      <x v="6"/>
    </i>
    <i r="2">
      <x v="8"/>
    </i>
    <i>
      <x v="173"/>
      <x/>
      <x v="8"/>
    </i>
    <i>
      <x v="174"/>
      <x/>
      <x/>
    </i>
    <i r="2">
      <x v="6"/>
    </i>
    <i r="1">
      <x v="2"/>
      <x v="5"/>
    </i>
    <i r="2">
      <x v="6"/>
    </i>
    <i>
      <x v="175"/>
      <x/>
      <x v="5"/>
    </i>
    <i r="2">
      <x v="6"/>
    </i>
    <i r="2">
      <x v="11"/>
    </i>
    <i r="2">
      <x v="12"/>
    </i>
    <i r="1">
      <x v="2"/>
      <x v="5"/>
    </i>
    <i>
      <x v="176"/>
      <x/>
      <x/>
    </i>
    <i r="2">
      <x v="5"/>
    </i>
    <i r="2">
      <x v="6"/>
    </i>
    <i r="2">
      <x v="9"/>
    </i>
    <i r="2">
      <x v="10"/>
    </i>
    <i r="2">
      <x v="11"/>
    </i>
    <i r="2">
      <x v="12"/>
    </i>
    <i r="1">
      <x v="2"/>
      <x v="6"/>
    </i>
    <i>
      <x v="177"/>
      <x/>
      <x/>
    </i>
    <i r="2">
      <x v="4"/>
    </i>
    <i r="2">
      <x v="5"/>
    </i>
    <i r="2">
      <x v="6"/>
    </i>
    <i r="2">
      <x v="9"/>
    </i>
    <i r="2">
      <x v="12"/>
    </i>
    <i r="1">
      <x v="1"/>
      <x/>
    </i>
    <i r="2">
      <x v="6"/>
    </i>
    <i r="1">
      <x v="2"/>
      <x v="5"/>
    </i>
    <i r="2">
      <x v="6"/>
    </i>
    <i>
      <x v="178"/>
      <x/>
      <x/>
    </i>
    <i r="2">
      <x v="3"/>
    </i>
    <i r="2">
      <x v="4"/>
    </i>
    <i r="2">
      <x v="5"/>
    </i>
    <i r="2">
      <x v="6"/>
    </i>
    <i r="2">
      <x v="9"/>
    </i>
    <i r="2">
      <x v="12"/>
    </i>
    <i r="1">
      <x v="2"/>
      <x v="6"/>
    </i>
    <i>
      <x v="179"/>
      <x/>
      <x/>
    </i>
    <i r="2">
      <x v="6"/>
    </i>
    <i r="2">
      <x v="10"/>
    </i>
    <i r="2">
      <x v="11"/>
    </i>
    <i r="2">
      <x v="12"/>
    </i>
    <i r="1">
      <x v="2"/>
      <x v="5"/>
    </i>
    <i r="2">
      <x v="6"/>
    </i>
    <i>
      <x v="180"/>
      <x/>
      <x/>
    </i>
    <i r="2">
      <x v="6"/>
    </i>
    <i r="1">
      <x v="2"/>
      <x v="5"/>
    </i>
    <i r="2">
      <x v="6"/>
    </i>
    <i>
      <x v="181"/>
      <x/>
      <x v="5"/>
    </i>
    <i r="2">
      <x v="6"/>
    </i>
    <i r="2">
      <x v="9"/>
    </i>
    <i r="1">
      <x v="2"/>
      <x v="5"/>
    </i>
    <i r="2">
      <x v="6"/>
    </i>
    <i>
      <x v="182"/>
      <x/>
      <x v="5"/>
    </i>
    <i r="2">
      <x v="6"/>
    </i>
    <i r="2">
      <x v="9"/>
    </i>
    <i r="1">
      <x v="2"/>
      <x v="6"/>
    </i>
    <i>
      <x v="183"/>
      <x/>
      <x v="6"/>
    </i>
    <i r="1">
      <x v="2"/>
      <x v="5"/>
    </i>
    <i>
      <x v="184"/>
      <x/>
      <x/>
    </i>
    <i r="2">
      <x v="5"/>
    </i>
    <i r="2">
      <x v="6"/>
    </i>
    <i r="2">
      <x v="9"/>
    </i>
    <i r="2">
      <x v="12"/>
    </i>
    <i r="1">
      <x v="2"/>
      <x v="5"/>
    </i>
    <i r="2">
      <x v="6"/>
    </i>
    <i>
      <x v="185"/>
      <x/>
      <x/>
    </i>
    <i r="2">
      <x v="5"/>
    </i>
    <i r="2">
      <x v="6"/>
    </i>
    <i r="2">
      <x v="9"/>
    </i>
    <i r="2">
      <x v="12"/>
    </i>
    <i r="1">
      <x v="2"/>
      <x v="5"/>
    </i>
    <i r="2">
      <x v="6"/>
    </i>
    <i r="2">
      <x v="9"/>
    </i>
    <i>
      <x v="186"/>
      <x/>
      <x/>
    </i>
    <i r="2">
      <x v="4"/>
    </i>
    <i r="2">
      <x v="5"/>
    </i>
    <i r="2">
      <x v="6"/>
    </i>
    <i r="2">
      <x v="7"/>
    </i>
    <i r="2">
      <x v="9"/>
    </i>
    <i r="2">
      <x v="10"/>
    </i>
    <i r="2">
      <x v="11"/>
    </i>
    <i r="2">
      <x v="12"/>
    </i>
    <i r="1">
      <x v="1"/>
      <x/>
    </i>
    <i r="2">
      <x v="5"/>
    </i>
    <i r="2">
      <x v="6"/>
    </i>
    <i r="2">
      <x v="9"/>
    </i>
    <i r="2">
      <x v="10"/>
    </i>
    <i r="1">
      <x v="2"/>
      <x/>
    </i>
    <i r="2">
      <x v="5"/>
    </i>
    <i r="2">
      <x v="6"/>
    </i>
    <i>
      <x v="187"/>
      <x/>
      <x v="5"/>
    </i>
    <i r="2">
      <x v="6"/>
    </i>
    <i r="1">
      <x v="2"/>
      <x v="5"/>
    </i>
    <i>
      <x v="188"/>
      <x/>
      <x v="6"/>
    </i>
    <i r="2">
      <x v="9"/>
    </i>
    <i r="1">
      <x v="2"/>
      <x v="5"/>
    </i>
    <i>
      <x v="189"/>
      <x/>
      <x/>
    </i>
    <i r="2">
      <x v="4"/>
    </i>
    <i r="2">
      <x v="5"/>
    </i>
    <i r="2">
      <x v="6"/>
    </i>
    <i r="2">
      <x v="9"/>
    </i>
    <i r="1">
      <x v="1"/>
      <x v="6"/>
    </i>
    <i r="2">
      <x v="9"/>
    </i>
    <i r="1">
      <x v="2"/>
      <x/>
    </i>
    <i r="2">
      <x v="6"/>
    </i>
    <i r="2">
      <x v="9"/>
    </i>
    <i>
      <x v="190"/>
      <x/>
      <x/>
    </i>
    <i r="2">
      <x v="5"/>
    </i>
    <i r="2">
      <x v="6"/>
    </i>
    <i r="2">
      <x v="9"/>
    </i>
    <i r="2">
      <x v="12"/>
    </i>
    <i r="1">
      <x v="2"/>
      <x v="5"/>
    </i>
    <i>
      <x v="191"/>
      <x/>
      <x/>
    </i>
    <i r="2">
      <x v="6"/>
    </i>
    <i r="1">
      <x v="2"/>
      <x v="5"/>
    </i>
    <i r="2">
      <x v="6"/>
    </i>
    <i>
      <x v="192"/>
      <x/>
      <x v="6"/>
    </i>
    <i r="2">
      <x v="8"/>
    </i>
    <i r="2">
      <x v="10"/>
    </i>
    <i r="2">
      <x v="11"/>
    </i>
    <i r="1">
      <x v="2"/>
      <x v="5"/>
    </i>
    <i r="2">
      <x v="6"/>
    </i>
    <i>
      <x v="193"/>
      <x/>
      <x/>
    </i>
    <i r="2">
      <x v="4"/>
    </i>
    <i r="2">
      <x v="5"/>
    </i>
    <i r="2">
      <x v="6"/>
    </i>
    <i r="2">
      <x v="9"/>
    </i>
    <i r="2">
      <x v="12"/>
    </i>
    <i r="1">
      <x v="2"/>
      <x v="5"/>
    </i>
    <i r="2">
      <x v="6"/>
    </i>
    <i>
      <x v="194"/>
      <x/>
      <x v="5"/>
    </i>
    <i r="2">
      <x v="6"/>
    </i>
    <i r="1">
      <x v="2"/>
      <x v="6"/>
    </i>
    <i>
      <x v="195"/>
      <x/>
      <x/>
    </i>
    <i r="2">
      <x v="3"/>
    </i>
    <i r="2">
      <x v="5"/>
    </i>
    <i r="2">
      <x v="6"/>
    </i>
    <i r="2">
      <x v="11"/>
    </i>
    <i r="1">
      <x v="2"/>
      <x v="6"/>
    </i>
    <i>
      <x v="196"/>
      <x/>
      <x/>
    </i>
    <i r="2">
      <x v="5"/>
    </i>
    <i r="2">
      <x v="6"/>
    </i>
    <i r="1">
      <x v="2"/>
      <x v="6"/>
    </i>
    <i>
      <x v="197"/>
      <x/>
      <x/>
    </i>
    <i r="2">
      <x v="5"/>
    </i>
    <i r="2">
      <x v="6"/>
    </i>
    <i r="2">
      <x v="12"/>
    </i>
    <i r="1">
      <x v="1"/>
      <x v="5"/>
    </i>
    <i r="1">
      <x v="2"/>
      <x v="6"/>
    </i>
    <i r="1">
      <x v="4"/>
      <x v="6"/>
    </i>
    <i>
      <x v="198"/>
      <x/>
      <x/>
    </i>
    <i r="2">
      <x v="5"/>
    </i>
    <i r="2">
      <x v="6"/>
    </i>
    <i r="2">
      <x v="9"/>
    </i>
    <i r="2">
      <x v="12"/>
    </i>
    <i r="1">
      <x v="2"/>
      <x v="5"/>
    </i>
    <i r="2">
      <x v="6"/>
    </i>
    <i r="2">
      <x v="9"/>
    </i>
    <i>
      <x v="199"/>
      <x/>
      <x v="5"/>
    </i>
    <i r="2">
      <x v="6"/>
    </i>
    <i r="2">
      <x v="9"/>
    </i>
    <i r="2">
      <x v="12"/>
    </i>
    <i r="1">
      <x v="2"/>
      <x v="5"/>
    </i>
    <i r="2">
      <x v="6"/>
    </i>
    <i>
      <x v="200"/>
      <x/>
      <x/>
    </i>
    <i r="2">
      <x v="3"/>
    </i>
    <i r="2">
      <x v="5"/>
    </i>
    <i r="2">
      <x v="6"/>
    </i>
    <i r="1">
      <x v="2"/>
      <x v="6"/>
    </i>
    <i>
      <x v="201"/>
      <x/>
      <x/>
    </i>
    <i r="2">
      <x v="5"/>
    </i>
    <i r="2">
      <x v="6"/>
    </i>
    <i r="2">
      <x v="9"/>
    </i>
    <i r="2">
      <x v="12"/>
    </i>
    <i r="1">
      <x v="2"/>
      <x v="6"/>
    </i>
    <i>
      <x v="202"/>
      <x/>
      <x v="5"/>
    </i>
    <i r="2">
      <x v="6"/>
    </i>
    <i r="1">
      <x v="2"/>
      <x v="6"/>
    </i>
    <i>
      <x v="203"/>
      <x/>
      <x/>
    </i>
    <i r="2">
      <x v="4"/>
    </i>
    <i r="2">
      <x v="5"/>
    </i>
    <i r="2">
      <x v="6"/>
    </i>
    <i r="2">
      <x v="9"/>
    </i>
    <i r="2">
      <x v="10"/>
    </i>
    <i r="2">
      <x v="12"/>
    </i>
    <i r="1">
      <x v="1"/>
      <x v="6"/>
    </i>
    <i r="2">
      <x v="9"/>
    </i>
    <i r="1">
      <x v="2"/>
      <x v="5"/>
    </i>
    <i r="2">
      <x v="6"/>
    </i>
    <i r="2">
      <x v="9"/>
    </i>
    <i r="2">
      <x v="10"/>
    </i>
    <i r="2">
      <x v="11"/>
    </i>
    <i>
      <x v="204"/>
      <x/>
      <x/>
    </i>
    <i r="2">
      <x v="3"/>
    </i>
    <i r="2">
      <x v="4"/>
    </i>
    <i r="2">
      <x v="5"/>
    </i>
    <i r="2">
      <x v="6"/>
    </i>
    <i r="1">
      <x v="1"/>
      <x v="6"/>
    </i>
    <i r="1">
      <x v="2"/>
      <x v="6"/>
    </i>
    <i>
      <x v="205"/>
      <x/>
      <x v="5"/>
    </i>
    <i r="2">
      <x v="6"/>
    </i>
    <i r="1">
      <x v="2"/>
      <x v="5"/>
    </i>
    <i r="1">
      <x v="4"/>
      <x v="6"/>
    </i>
    <i>
      <x v="206"/>
      <x/>
      <x/>
    </i>
    <i r="2">
      <x v="5"/>
    </i>
    <i r="2">
      <x v="6"/>
    </i>
    <i r="2">
      <x v="11"/>
    </i>
    <i r="2">
      <x v="12"/>
    </i>
    <i r="1">
      <x v="1"/>
      <x v="6"/>
    </i>
    <i r="1">
      <x v="2"/>
      <x v="5"/>
    </i>
    <i>
      <x v="207"/>
      <x/>
      <x/>
    </i>
    <i r="2">
      <x v="3"/>
    </i>
    <i r="2">
      <x v="5"/>
    </i>
    <i r="2">
      <x v="6"/>
    </i>
    <i r="2">
      <x v="9"/>
    </i>
    <i r="2">
      <x v="10"/>
    </i>
    <i r="2">
      <x v="11"/>
    </i>
    <i r="2">
      <x v="12"/>
    </i>
    <i r="1">
      <x v="1"/>
      <x v="6"/>
    </i>
    <i r="1">
      <x v="2"/>
      <x v="6"/>
    </i>
    <i>
      <x v="208"/>
      <x/>
      <x/>
    </i>
    <i r="2">
      <x v="4"/>
    </i>
    <i r="2">
      <x v="5"/>
    </i>
    <i r="2">
      <x v="6"/>
    </i>
    <i r="2">
      <x v="9"/>
    </i>
    <i r="2">
      <x v="11"/>
    </i>
    <i r="1">
      <x v="1"/>
      <x v="5"/>
    </i>
    <i r="2">
      <x v="6"/>
    </i>
    <i r="1">
      <x v="2"/>
      <x v="5"/>
    </i>
    <i r="2">
      <x v="6"/>
    </i>
    <i>
      <x v="209"/>
      <x/>
      <x/>
    </i>
    <i r="2">
      <x v="5"/>
    </i>
    <i r="2">
      <x v="6"/>
    </i>
    <i r="1">
      <x v="1"/>
      <x v="6"/>
    </i>
    <i>
      <x v="210"/>
      <x/>
      <x/>
    </i>
    <i r="2">
      <x v="5"/>
    </i>
    <i r="2">
      <x v="6"/>
    </i>
    <i r="2">
      <x v="9"/>
    </i>
    <i r="2">
      <x v="10"/>
    </i>
    <i r="2">
      <x v="12"/>
    </i>
    <i r="1">
      <x v="2"/>
      <x v="5"/>
    </i>
    <i r="2">
      <x v="6"/>
    </i>
    <i>
      <x v="211"/>
      <x/>
      <x/>
    </i>
    <i r="2">
      <x v="3"/>
    </i>
    <i r="2">
      <x v="5"/>
    </i>
    <i r="2">
      <x v="6"/>
    </i>
    <i r="1">
      <x v="2"/>
      <x v="6"/>
    </i>
    <i>
      <x v="212"/>
      <x v="2"/>
      <x v="6"/>
    </i>
    <i>
      <x v="213"/>
      <x/>
      <x/>
    </i>
    <i r="2">
      <x v="5"/>
    </i>
    <i r="2">
      <x v="6"/>
    </i>
    <i r="2">
      <x v="9"/>
    </i>
    <i r="2">
      <x v="11"/>
    </i>
    <i r="1">
      <x v="2"/>
      <x v="6"/>
    </i>
    <i>
      <x v="214"/>
      <x/>
      <x/>
    </i>
    <i r="2">
      <x v="2"/>
    </i>
    <i r="2">
      <x v="3"/>
    </i>
    <i r="2">
      <x v="4"/>
    </i>
    <i r="2">
      <x v="5"/>
    </i>
    <i r="2">
      <x v="6"/>
    </i>
    <i r="2">
      <x v="9"/>
    </i>
    <i r="1">
      <x v="2"/>
      <x v="5"/>
    </i>
    <i r="2">
      <x v="6"/>
    </i>
    <i r="2">
      <x v="9"/>
    </i>
    <i>
      <x v="215"/>
      <x/>
      <x/>
    </i>
    <i r="2">
      <x v="5"/>
    </i>
    <i r="2">
      <x v="6"/>
    </i>
    <i r="2">
      <x v="11"/>
    </i>
    <i r="2">
      <x v="12"/>
    </i>
    <i r="1">
      <x v="2"/>
      <x v="6"/>
    </i>
    <i>
      <x v="216"/>
      <x/>
      <x/>
    </i>
    <i r="2">
      <x v="4"/>
    </i>
    <i r="2">
      <x v="5"/>
    </i>
    <i r="2">
      <x v="6"/>
    </i>
    <i r="2">
      <x v="9"/>
    </i>
    <i r="2">
      <x v="10"/>
    </i>
    <i r="1">
      <x v="1"/>
      <x v="11"/>
    </i>
    <i r="1">
      <x v="2"/>
      <x v="6"/>
    </i>
    <i>
      <x v="217"/>
      <x/>
      <x/>
    </i>
    <i r="2">
      <x v="5"/>
    </i>
    <i r="2">
      <x v="6"/>
    </i>
    <i r="2">
      <x v="8"/>
    </i>
    <i r="2">
      <x v="9"/>
    </i>
    <i r="2">
      <x v="10"/>
    </i>
    <i r="2">
      <x v="11"/>
    </i>
    <i r="2">
      <x v="12"/>
    </i>
    <i r="1">
      <x v="1"/>
      <x v="6"/>
    </i>
    <i r="1">
      <x v="2"/>
      <x v="6"/>
    </i>
    <i>
      <x v="218"/>
      <x/>
      <x v="5"/>
    </i>
    <i r="2">
      <x v="6"/>
    </i>
    <i r="1">
      <x v="2"/>
      <x v="5"/>
    </i>
    <i>
      <x v="219"/>
      <x/>
      <x/>
    </i>
    <i r="2">
      <x v="4"/>
    </i>
    <i r="2">
      <x v="5"/>
    </i>
    <i r="2">
      <x v="6"/>
    </i>
    <i r="2">
      <x v="10"/>
    </i>
    <i r="2">
      <x v="11"/>
    </i>
    <i r="2">
      <x v="12"/>
    </i>
    <i r="1">
      <x v="2"/>
      <x v="6"/>
    </i>
    <i>
      <x v="220"/>
      <x/>
      <x/>
    </i>
    <i r="2">
      <x v="5"/>
    </i>
    <i r="2">
      <x v="6"/>
    </i>
    <i r="2">
      <x v="9"/>
    </i>
    <i r="2">
      <x v="12"/>
    </i>
    <i r="1">
      <x v="2"/>
      <x v="6"/>
    </i>
    <i r="2">
      <x v="9"/>
    </i>
    <i>
      <x v="221"/>
      <x/>
      <x/>
    </i>
    <i r="2">
      <x v="4"/>
    </i>
    <i r="2">
      <x v="5"/>
    </i>
    <i r="2">
      <x v="6"/>
    </i>
    <i r="2">
      <x v="9"/>
    </i>
    <i r="1">
      <x v="2"/>
      <x v="6"/>
    </i>
    <i>
      <x v="222"/>
      <x/>
      <x v="8"/>
    </i>
    <i>
      <x v="223"/>
      <x/>
      <x/>
    </i>
    <i r="2">
      <x v="5"/>
    </i>
    <i r="2">
      <x v="6"/>
    </i>
    <i r="1">
      <x v="2"/>
      <x v="5"/>
    </i>
    <i>
      <x v="224"/>
      <x/>
      <x/>
    </i>
    <i r="2">
      <x v="5"/>
    </i>
    <i r="2">
      <x v="6"/>
    </i>
    <i r="2">
      <x v="9"/>
    </i>
    <i r="1">
      <x v="2"/>
      <x v="6"/>
    </i>
    <i>
      <x v="225"/>
      <x/>
      <x/>
    </i>
    <i r="2">
      <x v="5"/>
    </i>
    <i r="2">
      <x v="6"/>
    </i>
    <i r="2">
      <x v="9"/>
    </i>
    <i r="2">
      <x v="12"/>
    </i>
    <i r="1">
      <x v="2"/>
      <x v="6"/>
    </i>
    <i>
      <x v="226"/>
      <x/>
      <x v="5"/>
    </i>
    <i r="2">
      <x v="6"/>
    </i>
    <i r="2">
      <x v="9"/>
    </i>
    <i r="2">
      <x v="12"/>
    </i>
    <i r="1">
      <x v="2"/>
      <x v="5"/>
    </i>
    <i r="2">
      <x v="6"/>
    </i>
    <i>
      <x v="227"/>
      <x/>
      <x/>
    </i>
    <i r="2">
      <x v="3"/>
    </i>
    <i r="2">
      <x v="4"/>
    </i>
    <i r="2">
      <x v="5"/>
    </i>
    <i r="2">
      <x v="6"/>
    </i>
    <i r="2">
      <x v="9"/>
    </i>
    <i r="2">
      <x v="11"/>
    </i>
    <i r="1">
      <x v="2"/>
      <x/>
    </i>
    <i r="2">
      <x v="5"/>
    </i>
    <i r="2">
      <x v="6"/>
    </i>
    <i r="2">
      <x v="9"/>
    </i>
    <i>
      <x v="228"/>
      <x/>
      <x/>
    </i>
    <i r="2">
      <x v="1"/>
    </i>
    <i r="2">
      <x v="4"/>
    </i>
    <i r="2">
      <x v="5"/>
    </i>
    <i r="2">
      <x v="6"/>
    </i>
    <i r="2">
      <x v="8"/>
    </i>
    <i r="2">
      <x v="9"/>
    </i>
    <i r="2">
      <x v="12"/>
    </i>
    <i r="1">
      <x v="1"/>
      <x v="6"/>
    </i>
    <i r="1">
      <x v="2"/>
      <x v="3"/>
    </i>
    <i r="2">
      <x v="5"/>
    </i>
    <i r="2">
      <x v="6"/>
    </i>
    <i>
      <x v="229"/>
      <x/>
      <x/>
    </i>
    <i r="2">
      <x v="5"/>
    </i>
    <i r="2">
      <x v="6"/>
    </i>
    <i r="2">
      <x v="9"/>
    </i>
    <i r="1">
      <x v="1"/>
      <x v="6"/>
    </i>
    <i r="1">
      <x v="2"/>
      <x v="5"/>
    </i>
    <i r="2">
      <x v="6"/>
    </i>
    <i>
      <x v="230"/>
      <x/>
      <x/>
    </i>
    <i r="2">
      <x v="5"/>
    </i>
    <i r="2">
      <x v="6"/>
    </i>
    <i r="2">
      <x v="12"/>
    </i>
    <i r="1">
      <x v="2"/>
      <x v="5"/>
    </i>
    <i r="2">
      <x v="6"/>
    </i>
    <i>
      <x v="231"/>
      <x/>
      <x/>
    </i>
    <i r="2">
      <x v="4"/>
    </i>
    <i r="2">
      <x v="5"/>
    </i>
    <i r="2">
      <x v="6"/>
    </i>
    <i r="2">
      <x v="9"/>
    </i>
    <i r="2">
      <x v="12"/>
    </i>
    <i r="1">
      <x v="2"/>
      <x v="5"/>
    </i>
    <i r="2">
      <x v="6"/>
    </i>
    <i r="2">
      <x v="9"/>
    </i>
    <i>
      <x v="232"/>
      <x/>
      <x/>
    </i>
    <i r="2">
      <x v="5"/>
    </i>
    <i r="2">
      <x v="6"/>
    </i>
    <i r="2">
      <x v="9"/>
    </i>
    <i r="1">
      <x v="2"/>
      <x v="5"/>
    </i>
    <i r="2">
      <x v="6"/>
    </i>
    <i r="2">
      <x v="9"/>
    </i>
    <i r="2">
      <x v="10"/>
    </i>
    <i>
      <x v="233"/>
      <x/>
      <x/>
    </i>
    <i r="2">
      <x v="4"/>
    </i>
    <i r="2">
      <x v="5"/>
    </i>
    <i r="2">
      <x v="6"/>
    </i>
    <i r="2">
      <x v="8"/>
    </i>
    <i r="2">
      <x v="9"/>
    </i>
    <i r="1">
      <x v="2"/>
      <x v="5"/>
    </i>
    <i r="2">
      <x v="6"/>
    </i>
    <i r="2">
      <x v="9"/>
    </i>
    <i r="1">
      <x v="3"/>
      <x v="6"/>
    </i>
    <i>
      <x v="234"/>
      <x/>
      <x v="8"/>
    </i>
    <i>
      <x v="235"/>
      <x/>
      <x v="5"/>
    </i>
    <i r="2">
      <x v="6"/>
    </i>
    <i r="1">
      <x v="2"/>
      <x v="5"/>
    </i>
    <i>
      <x v="236"/>
      <x/>
      <x/>
    </i>
    <i r="2">
      <x v="5"/>
    </i>
    <i r="2">
      <x v="6"/>
    </i>
    <i r="2">
      <x v="8"/>
    </i>
    <i r="2">
      <x v="9"/>
    </i>
    <i r="2">
      <x v="11"/>
    </i>
    <i r="2">
      <x v="12"/>
    </i>
    <i r="1">
      <x v="1"/>
      <x v="6"/>
    </i>
    <i r="1">
      <x v="2"/>
      <x v="5"/>
    </i>
    <i r="2">
      <x v="6"/>
    </i>
    <i>
      <x v="237"/>
      <x/>
      <x/>
    </i>
    <i r="2">
      <x v="2"/>
    </i>
    <i r="2">
      <x v="5"/>
    </i>
    <i r="2">
      <x v="6"/>
    </i>
    <i r="2">
      <x v="9"/>
    </i>
    <i r="2">
      <x v="11"/>
    </i>
    <i r="2">
      <x v="12"/>
    </i>
    <i r="1">
      <x v="2"/>
      <x v="5"/>
    </i>
    <i r="2">
      <x v="6"/>
    </i>
    <i r="2">
      <x v="9"/>
    </i>
    <i r="2">
      <x v="11"/>
    </i>
    <i>
      <x v="238"/>
      <x/>
      <x/>
    </i>
    <i r="2">
      <x v="5"/>
    </i>
    <i r="2">
      <x v="6"/>
    </i>
    <i r="2">
      <x v="9"/>
    </i>
    <i r="2">
      <x v="12"/>
    </i>
    <i r="1">
      <x v="2"/>
      <x v="5"/>
    </i>
    <i>
      <x v="239"/>
      <x/>
      <x/>
    </i>
    <i r="2">
      <x v="5"/>
    </i>
    <i r="2">
      <x v="6"/>
    </i>
    <i r="2">
      <x v="9"/>
    </i>
    <i r="2">
      <x v="11"/>
    </i>
    <i r="2">
      <x v="12"/>
    </i>
    <i r="1">
      <x v="2"/>
      <x v="6"/>
    </i>
    <i>
      <x v="240"/>
      <x/>
      <x/>
    </i>
    <i r="2">
      <x v="3"/>
    </i>
    <i r="2">
      <x v="5"/>
    </i>
    <i r="2">
      <x v="6"/>
    </i>
    <i r="2">
      <x v="9"/>
    </i>
    <i r="1">
      <x v="2"/>
      <x v="5"/>
    </i>
    <i r="2">
      <x v="6"/>
    </i>
    <i>
      <x v="241"/>
      <x/>
      <x/>
    </i>
    <i r="2">
      <x v="5"/>
    </i>
    <i r="2">
      <x v="6"/>
    </i>
    <i r="2">
      <x v="12"/>
    </i>
    <i r="1">
      <x v="1"/>
      <x v="5"/>
    </i>
    <i r="2">
      <x v="6"/>
    </i>
    <i r="1">
      <x v="2"/>
      <x v="5"/>
    </i>
    <i>
      <x v="242"/>
      <x/>
      <x v="6"/>
    </i>
    <i r="1">
      <x v="2"/>
      <x v="8"/>
    </i>
    <i>
      <x v="243"/>
      <x/>
      <x/>
    </i>
    <i r="2">
      <x v="5"/>
    </i>
    <i r="2">
      <x v="6"/>
    </i>
    <i r="2">
      <x v="12"/>
    </i>
    <i r="1">
      <x v="2"/>
      <x v="5"/>
    </i>
    <i>
      <x v="244"/>
      <x/>
      <x/>
    </i>
    <i r="2">
      <x v="2"/>
    </i>
    <i r="2">
      <x v="3"/>
    </i>
    <i r="2">
      <x v="5"/>
    </i>
    <i r="2">
      <x v="6"/>
    </i>
    <i r="2">
      <x v="7"/>
    </i>
    <i r="2">
      <x v="9"/>
    </i>
    <i r="2">
      <x v="10"/>
    </i>
    <i r="2">
      <x v="11"/>
    </i>
    <i r="2">
      <x v="12"/>
    </i>
    <i r="1">
      <x v="2"/>
      <x v="5"/>
    </i>
    <i r="2">
      <x v="6"/>
    </i>
    <i r="2">
      <x v="9"/>
    </i>
    <i r="2">
      <x v="10"/>
    </i>
    <i r="2">
      <x v="11"/>
    </i>
    <i>
      <x v="245"/>
      <x/>
      <x v="5"/>
    </i>
    <i r="2">
      <x v="6"/>
    </i>
    <i r="1">
      <x v="2"/>
      <x v="5"/>
    </i>
    <i>
      <x v="246"/>
      <x/>
      <x v="6"/>
    </i>
    <i r="2">
      <x v="9"/>
    </i>
    <i r="1">
      <x v="2"/>
      <x v="6"/>
    </i>
    <i>
      <x v="247"/>
      <x/>
      <x/>
    </i>
    <i r="2">
      <x v="5"/>
    </i>
    <i r="2">
      <x v="6"/>
    </i>
    <i r="2">
      <x v="9"/>
    </i>
    <i r="1">
      <x v="2"/>
      <x v="5"/>
    </i>
    <i r="2">
      <x v="6"/>
    </i>
    <i>
      <x v="248"/>
      <x/>
      <x v="6"/>
    </i>
    <i>
      <x v="249"/>
      <x/>
      <x/>
    </i>
    <i r="2">
      <x v="5"/>
    </i>
    <i r="2">
      <x v="6"/>
    </i>
    <i r="1">
      <x v="2"/>
      <x v="6"/>
    </i>
    <i>
      <x v="250"/>
      <x/>
      <x/>
    </i>
    <i r="2">
      <x v="5"/>
    </i>
    <i r="2">
      <x v="6"/>
    </i>
    <i r="2">
      <x v="9"/>
    </i>
    <i r="2">
      <x v="11"/>
    </i>
    <i r="1">
      <x v="2"/>
      <x v="6"/>
    </i>
    <i r="2">
      <x v="8"/>
    </i>
    <i>
      <x v="251"/>
      <x/>
      <x/>
    </i>
    <i r="2">
      <x v="5"/>
    </i>
    <i r="2">
      <x v="6"/>
    </i>
    <i r="1">
      <x v="2"/>
      <x v="5"/>
    </i>
    <i>
      <x v="252"/>
      <x/>
      <x v="6"/>
    </i>
    <i>
      <x v="253"/>
      <x/>
      <x/>
    </i>
    <i r="2">
      <x v="3"/>
    </i>
    <i r="2">
      <x v="5"/>
    </i>
    <i r="2">
      <x v="6"/>
    </i>
    <i r="1">
      <x v="2"/>
      <x v="6"/>
    </i>
    <i>
      <x v="254"/>
      <x/>
      <x v="2"/>
    </i>
    <i r="2">
      <x v="6"/>
    </i>
    <i r="1">
      <x v="2"/>
      <x v="6"/>
    </i>
    <i>
      <x v="255"/>
      <x/>
      <x v="2"/>
    </i>
    <i r="2">
      <x v="6"/>
    </i>
    <i r="1">
      <x v="2"/>
      <x v="6"/>
    </i>
    <i>
      <x v="256"/>
      <x/>
      <x v="2"/>
    </i>
    <i r="2">
      <x v="6"/>
    </i>
    <i r="1">
      <x v="2"/>
      <x v="6"/>
    </i>
    <i>
      <x v="257"/>
      <x/>
      <x/>
    </i>
    <i r="2">
      <x v="5"/>
    </i>
    <i r="2">
      <x v="6"/>
    </i>
    <i r="2">
      <x v="9"/>
    </i>
    <i r="2">
      <x v="11"/>
    </i>
    <i r="1">
      <x v="2"/>
      <x v="5"/>
    </i>
    <i>
      <x v="258"/>
      <x/>
      <x/>
    </i>
    <i r="2">
      <x v="3"/>
    </i>
    <i r="2">
      <x v="5"/>
    </i>
    <i r="2">
      <x v="6"/>
    </i>
    <i r="2">
      <x v="8"/>
    </i>
    <i r="2">
      <x v="9"/>
    </i>
    <i r="2">
      <x v="10"/>
    </i>
    <i r="2">
      <x v="11"/>
    </i>
    <i r="2">
      <x v="12"/>
    </i>
    <i r="1">
      <x v="1"/>
      <x v="6"/>
    </i>
    <i r="1">
      <x v="2"/>
      <x/>
    </i>
    <i r="2">
      <x v="6"/>
    </i>
    <i r="2">
      <x v="9"/>
    </i>
    <i>
      <x v="259"/>
      <x/>
      <x/>
    </i>
    <i r="2">
      <x v="4"/>
    </i>
    <i r="2">
      <x v="5"/>
    </i>
    <i r="2">
      <x v="6"/>
    </i>
    <i r="2">
      <x v="9"/>
    </i>
    <i r="2">
      <x v="12"/>
    </i>
    <i r="1">
      <x v="2"/>
      <x/>
    </i>
    <i r="2">
      <x v="6"/>
    </i>
    <i>
      <x v="260"/>
      <x/>
      <x/>
    </i>
    <i r="2">
      <x v="4"/>
    </i>
    <i r="2">
      <x v="5"/>
    </i>
    <i r="2">
      <x v="6"/>
    </i>
    <i r="2">
      <x v="9"/>
    </i>
    <i r="2">
      <x v="12"/>
    </i>
    <i r="1">
      <x v="1"/>
      <x v="5"/>
    </i>
    <i r="2">
      <x v="6"/>
    </i>
    <i r="2">
      <x v="9"/>
    </i>
    <i r="1">
      <x v="2"/>
      <x v="6"/>
    </i>
    <i r="2">
      <x v="9"/>
    </i>
    <i>
      <x v="261"/>
      <x/>
      <x v="5"/>
    </i>
    <i r="2">
      <x v="6"/>
    </i>
    <i r="2">
      <x v="9"/>
    </i>
    <i r="1">
      <x v="2"/>
      <x v="5"/>
    </i>
    <i r="1">
      <x v="4"/>
      <x v="6"/>
    </i>
    <i>
      <x v="262"/>
      <x/>
      <x/>
    </i>
    <i r="2">
      <x v="5"/>
    </i>
    <i r="2">
      <x v="6"/>
    </i>
    <i r="2">
      <x v="7"/>
    </i>
    <i r="2">
      <x v="8"/>
    </i>
    <i r="2">
      <x v="11"/>
    </i>
    <i r="1">
      <x v="1"/>
      <x v="6"/>
    </i>
    <i r="1">
      <x v="2"/>
      <x/>
    </i>
    <i r="2">
      <x v="5"/>
    </i>
    <i r="2">
      <x v="6"/>
    </i>
    <i>
      <x v="263"/>
      <x/>
      <x/>
    </i>
    <i r="2">
      <x v="5"/>
    </i>
    <i r="2">
      <x v="6"/>
    </i>
    <i r="2">
      <x v="9"/>
    </i>
    <i r="1">
      <x v="2"/>
      <x v="5"/>
    </i>
    <i>
      <x v="264"/>
      <x/>
      <x/>
    </i>
    <i r="2">
      <x v="5"/>
    </i>
    <i r="2">
      <x v="6"/>
    </i>
    <i r="2">
      <x v="9"/>
    </i>
    <i r="2">
      <x v="11"/>
    </i>
    <i r="2">
      <x v="12"/>
    </i>
    <i r="1">
      <x v="2"/>
      <x/>
    </i>
    <i r="2">
      <x v="5"/>
    </i>
    <i r="2">
      <x v="6"/>
    </i>
    <i r="2">
      <x v="9"/>
    </i>
    <i r="2">
      <x v="11"/>
    </i>
    <i>
      <x v="265"/>
      <x/>
      <x v="2"/>
    </i>
    <i r="2">
      <x v="5"/>
    </i>
    <i r="2">
      <x v="6"/>
    </i>
    <i r="1">
      <x v="2"/>
      <x v="6"/>
    </i>
    <i>
      <x v="266"/>
      <x/>
      <x/>
    </i>
    <i r="2">
      <x v="5"/>
    </i>
    <i r="2">
      <x v="6"/>
    </i>
    <i r="2">
      <x v="9"/>
    </i>
    <i r="2">
      <x v="10"/>
    </i>
    <i r="2">
      <x v="11"/>
    </i>
    <i r="2">
      <x v="12"/>
    </i>
    <i r="1">
      <x v="2"/>
      <x v="5"/>
    </i>
    <i>
      <x v="267"/>
      <x/>
      <x/>
    </i>
    <i r="2">
      <x v="5"/>
    </i>
    <i r="2">
      <x v="6"/>
    </i>
    <i r="2">
      <x v="9"/>
    </i>
    <i r="2">
      <x v="10"/>
    </i>
    <i r="2">
      <x v="12"/>
    </i>
    <i r="1">
      <x v="1"/>
      <x v="6"/>
    </i>
    <i r="2">
      <x v="9"/>
    </i>
    <i r="1">
      <x v="2"/>
      <x v="6"/>
    </i>
    <i r="2">
      <x v="9"/>
    </i>
    <i>
      <x v="268"/>
      <x/>
      <x/>
    </i>
    <i r="2">
      <x v="5"/>
    </i>
    <i r="2">
      <x v="6"/>
    </i>
    <i r="2">
      <x v="9"/>
    </i>
    <i r="1">
      <x v="2"/>
      <x v="6"/>
    </i>
    <i r="1">
      <x v="4"/>
      <x v="4"/>
    </i>
    <i r="2">
      <x v="6"/>
    </i>
    <i>
      <x v="269"/>
      <x/>
      <x/>
    </i>
    <i r="2">
      <x v="6"/>
    </i>
    <i r="1">
      <x v="2"/>
      <x v="5"/>
    </i>
    <i>
      <x v="270"/>
      <x/>
      <x v="8"/>
    </i>
    <i>
      <x v="271"/>
      <x/>
      <x v="8"/>
    </i>
    <i>
      <x v="272"/>
      <x/>
      <x/>
    </i>
    <i r="2">
      <x v="5"/>
    </i>
    <i r="2">
      <x v="6"/>
    </i>
    <i r="2">
      <x v="9"/>
    </i>
    <i r="1">
      <x v="2"/>
      <x v="5"/>
    </i>
    <i r="2">
      <x v="6"/>
    </i>
    <i>
      <x v="273"/>
      <x/>
      <x/>
    </i>
    <i r="2">
      <x v="4"/>
    </i>
    <i r="2">
      <x v="5"/>
    </i>
    <i r="2">
      <x v="6"/>
    </i>
    <i r="1">
      <x v="2"/>
      <x v="5"/>
    </i>
    <i r="2">
      <x v="6"/>
    </i>
    <i>
      <x v="274"/>
      <x/>
      <x/>
    </i>
    <i r="2">
      <x v="3"/>
    </i>
    <i r="2">
      <x v="4"/>
    </i>
    <i r="2">
      <x v="5"/>
    </i>
    <i r="2">
      <x v="6"/>
    </i>
    <i r="2">
      <x v="9"/>
    </i>
    <i r="2">
      <x v="10"/>
    </i>
    <i r="2">
      <x v="12"/>
    </i>
    <i r="1">
      <x v="2"/>
      <x v="5"/>
    </i>
    <i r="2">
      <x v="6"/>
    </i>
    <i>
      <x v="275"/>
      <x/>
      <x/>
    </i>
    <i r="2">
      <x v="3"/>
    </i>
    <i r="2">
      <x v="5"/>
    </i>
    <i r="2">
      <x v="6"/>
    </i>
    <i r="2">
      <x v="8"/>
    </i>
    <i r="2">
      <x v="9"/>
    </i>
    <i r="2">
      <x v="11"/>
    </i>
    <i r="2">
      <x v="12"/>
    </i>
    <i r="1">
      <x v="2"/>
      <x v="5"/>
    </i>
    <i r="2">
      <x v="6"/>
    </i>
    <i r="2">
      <x v="9"/>
    </i>
    <i r="1">
      <x v="4"/>
      <x v="5"/>
    </i>
    <i>
      <x v="276"/>
      <x/>
      <x/>
    </i>
    <i r="2">
      <x v="2"/>
    </i>
    <i r="2">
      <x v="5"/>
    </i>
    <i r="2">
      <x v="6"/>
    </i>
    <i r="2">
      <x v="9"/>
    </i>
    <i r="2">
      <x v="10"/>
    </i>
    <i r="2">
      <x v="11"/>
    </i>
    <i r="2">
      <x v="12"/>
    </i>
    <i r="1">
      <x v="2"/>
      <x v="5"/>
    </i>
    <i r="2">
      <x v="6"/>
    </i>
    <i r="2">
      <x v="9"/>
    </i>
    <i r="2">
      <x v="11"/>
    </i>
    <i>
      <x v="277"/>
      <x/>
      <x/>
    </i>
    <i r="2">
      <x v="2"/>
    </i>
    <i r="2">
      <x v="5"/>
    </i>
    <i r="2">
      <x v="6"/>
    </i>
    <i r="2">
      <x v="9"/>
    </i>
    <i r="2">
      <x v="11"/>
    </i>
    <i r="2">
      <x v="12"/>
    </i>
    <i r="1">
      <x v="2"/>
      <x v="5"/>
    </i>
    <i r="2">
      <x v="6"/>
    </i>
    <i>
      <x v="278"/>
      <x/>
      <x/>
    </i>
    <i r="2">
      <x v="5"/>
    </i>
    <i r="2">
      <x v="6"/>
    </i>
    <i r="2">
      <x v="9"/>
    </i>
    <i r="2">
      <x v="11"/>
    </i>
    <i r="1">
      <x v="2"/>
      <x/>
    </i>
    <i r="2">
      <x v="5"/>
    </i>
    <i r="2">
      <x v="6"/>
    </i>
    <i>
      <x v="279"/>
      <x/>
      <x v="6"/>
    </i>
    <i>
      <x v="280"/>
      <x/>
      <x/>
    </i>
    <i r="2">
      <x v="5"/>
    </i>
    <i r="2">
      <x v="6"/>
    </i>
    <i r="2">
      <x v="9"/>
    </i>
    <i r="2">
      <x v="10"/>
    </i>
    <i r="2">
      <x v="12"/>
    </i>
    <i r="1">
      <x v="2"/>
      <x/>
    </i>
    <i r="2">
      <x v="6"/>
    </i>
    <i>
      <x v="281"/>
      <x/>
      <x v="5"/>
    </i>
    <i r="2">
      <x v="6"/>
    </i>
    <i r="2">
      <x v="9"/>
    </i>
    <i r="2">
      <x v="10"/>
    </i>
    <i r="1">
      <x v="2"/>
      <x v="5"/>
    </i>
    <i r="2">
      <x v="6"/>
    </i>
    <i>
      <x v="282"/>
      <x/>
      <x/>
    </i>
    <i r="2">
      <x v="2"/>
    </i>
    <i r="2">
      <x v="3"/>
    </i>
    <i r="2">
      <x v="4"/>
    </i>
    <i r="2">
      <x v="5"/>
    </i>
    <i r="2">
      <x v="6"/>
    </i>
    <i r="2">
      <x v="9"/>
    </i>
    <i r="2">
      <x v="12"/>
    </i>
    <i r="1">
      <x v="2"/>
      <x v="6"/>
    </i>
    <i>
      <x v="283"/>
      <x/>
      <x/>
    </i>
    <i r="2">
      <x v="4"/>
    </i>
    <i r="2">
      <x v="5"/>
    </i>
    <i r="2">
      <x v="6"/>
    </i>
    <i r="2">
      <x v="9"/>
    </i>
    <i r="2">
      <x v="12"/>
    </i>
    <i r="1">
      <x v="1"/>
      <x v="5"/>
    </i>
    <i r="2">
      <x v="6"/>
    </i>
    <i r="1">
      <x v="2"/>
      <x v="5"/>
    </i>
    <i r="2">
      <x v="6"/>
    </i>
    <i r="2">
      <x v="9"/>
    </i>
    <i r="1">
      <x v="4"/>
      <x v="5"/>
    </i>
    <i r="2">
      <x v="6"/>
    </i>
    <i>
      <x v="284"/>
      <x/>
      <x/>
    </i>
    <i r="2">
      <x v="5"/>
    </i>
    <i r="2">
      <x v="6"/>
    </i>
    <i r="2">
      <x v="9"/>
    </i>
    <i r="2">
      <x v="10"/>
    </i>
    <i r="2">
      <x v="11"/>
    </i>
    <i r="1">
      <x v="2"/>
      <x/>
    </i>
    <i r="2">
      <x v="6"/>
    </i>
    <i r="2">
      <x v="9"/>
    </i>
    <i>
      <x v="285"/>
      <x/>
      <x/>
    </i>
    <i r="2">
      <x v="5"/>
    </i>
    <i r="2">
      <x v="6"/>
    </i>
    <i r="2">
      <x v="9"/>
    </i>
    <i r="2">
      <x v="11"/>
    </i>
    <i r="2">
      <x v="12"/>
    </i>
    <i r="1">
      <x v="2"/>
      <x v="5"/>
    </i>
    <i r="2">
      <x v="6"/>
    </i>
    <i>
      <x v="286"/>
      <x/>
      <x v="5"/>
    </i>
    <i r="2">
      <x v="6"/>
    </i>
    <i r="2">
      <x v="12"/>
    </i>
    <i r="1">
      <x v="2"/>
      <x v="5"/>
    </i>
    <i>
      <x v="287"/>
      <x/>
      <x v="8"/>
    </i>
    <i>
      <x v="288"/>
      <x/>
      <x/>
    </i>
    <i r="2">
      <x v="5"/>
    </i>
    <i r="2">
      <x v="6"/>
    </i>
    <i r="1">
      <x v="2"/>
      <x v="5"/>
    </i>
    <i r="1">
      <x v="4"/>
      <x v="6"/>
    </i>
    <i>
      <x v="289"/>
      <x/>
      <x/>
    </i>
    <i r="2">
      <x v="3"/>
    </i>
    <i r="2">
      <x v="5"/>
    </i>
    <i r="2">
      <x v="6"/>
    </i>
    <i r="2">
      <x v="9"/>
    </i>
    <i r="2">
      <x v="10"/>
    </i>
    <i r="2">
      <x v="11"/>
    </i>
    <i r="2">
      <x v="12"/>
    </i>
    <i r="1">
      <x v="1"/>
      <x v="5"/>
    </i>
    <i r="2">
      <x v="6"/>
    </i>
    <i r="1">
      <x v="2"/>
      <x/>
    </i>
    <i r="2">
      <x v="6"/>
    </i>
    <i r="2">
      <x v="9"/>
    </i>
    <i>
      <x v="290"/>
      <x/>
      <x/>
    </i>
    <i r="2">
      <x v="2"/>
    </i>
    <i r="2">
      <x v="5"/>
    </i>
    <i r="2">
      <x v="6"/>
    </i>
    <i r="2">
      <x v="10"/>
    </i>
    <i r="1">
      <x v="1"/>
      <x v="6"/>
    </i>
    <i r="1">
      <x v="2"/>
      <x v="6"/>
    </i>
    <i>
      <x v="291"/>
      <x/>
      <x/>
    </i>
    <i r="2">
      <x v="5"/>
    </i>
    <i r="2">
      <x v="6"/>
    </i>
    <i r="2">
      <x v="9"/>
    </i>
    <i r="1">
      <x v="2"/>
      <x v="5"/>
    </i>
    <i r="2">
      <x v="6"/>
    </i>
    <i r="2">
      <x v="9"/>
    </i>
    <i>
      <x v="292"/>
      <x/>
      <x v="5"/>
    </i>
    <i r="2">
      <x v="6"/>
    </i>
    <i r="1">
      <x v="2"/>
      <x v="6"/>
    </i>
    <i>
      <x v="293"/>
      <x/>
      <x v="6"/>
    </i>
    <i r="2">
      <x v="9"/>
    </i>
    <i r="1">
      <x v="2"/>
      <x v="5"/>
    </i>
    <i r="2">
      <x v="6"/>
    </i>
    <i>
      <x v="294"/>
      <x/>
      <x/>
    </i>
    <i r="2">
      <x v="3"/>
    </i>
    <i r="2">
      <x v="4"/>
    </i>
    <i r="2">
      <x v="5"/>
    </i>
    <i r="2">
      <x v="6"/>
    </i>
    <i r="2">
      <x v="8"/>
    </i>
    <i r="2">
      <x v="9"/>
    </i>
    <i r="2">
      <x v="11"/>
    </i>
    <i r="2">
      <x v="12"/>
    </i>
    <i r="1">
      <x v="2"/>
      <x v="5"/>
    </i>
    <i r="2">
      <x v="6"/>
    </i>
    <i r="2">
      <x v="9"/>
    </i>
    <i r="1">
      <x v="3"/>
      <x v="5"/>
    </i>
    <i r="2">
      <x v="6"/>
    </i>
    <i r="2">
      <x v="9"/>
    </i>
    <i>
      <x v="295"/>
      <x/>
      <x v="8"/>
    </i>
    <i>
      <x v="296"/>
      <x/>
      <x v="5"/>
    </i>
    <i r="2">
      <x v="6"/>
    </i>
    <i r="1">
      <x v="2"/>
      <x v="6"/>
    </i>
    <i>
      <x v="297"/>
      <x/>
      <x v="6"/>
    </i>
    <i r="1">
      <x v="2"/>
      <x v="5"/>
    </i>
    <i>
      <x v="298"/>
      <x/>
      <x/>
    </i>
    <i r="2">
      <x v="6"/>
    </i>
    <i r="1">
      <x v="2"/>
      <x v="6"/>
    </i>
    <i>
      <x v="299"/>
      <x/>
      <x/>
    </i>
    <i r="2">
      <x v="5"/>
    </i>
    <i r="2">
      <x v="6"/>
    </i>
    <i r="2">
      <x v="11"/>
    </i>
    <i r="2">
      <x v="12"/>
    </i>
    <i r="1">
      <x v="2"/>
      <x v="5"/>
    </i>
    <i r="2">
      <x v="6"/>
    </i>
    <i>
      <x v="300"/>
      <x/>
      <x/>
    </i>
    <i r="2">
      <x v="4"/>
    </i>
    <i r="2">
      <x v="6"/>
    </i>
    <i r="2">
      <x v="8"/>
    </i>
    <i r="1">
      <x v="2"/>
      <x v="5"/>
    </i>
    <i>
      <x v="301"/>
      <x/>
      <x v="5"/>
    </i>
    <i r="2">
      <x v="6"/>
    </i>
    <i r="2">
      <x v="10"/>
    </i>
    <i r="2">
      <x v="12"/>
    </i>
    <i r="1">
      <x v="2"/>
      <x v="5"/>
    </i>
    <i r="2">
      <x v="6"/>
    </i>
    <i>
      <x v="302"/>
      <x/>
      <x v="8"/>
    </i>
    <i>
      <x v="303"/>
      <x/>
      <x/>
    </i>
    <i r="2">
      <x v="5"/>
    </i>
    <i r="2">
      <x v="6"/>
    </i>
    <i r="2">
      <x v="8"/>
    </i>
    <i r="2">
      <x v="9"/>
    </i>
    <i r="2">
      <x v="10"/>
    </i>
    <i r="2">
      <x v="11"/>
    </i>
    <i r="2">
      <x v="12"/>
    </i>
    <i r="1">
      <x v="2"/>
      <x v="6"/>
    </i>
    <i>
      <x v="304"/>
      <x/>
      <x/>
    </i>
    <i r="2">
      <x v="1"/>
    </i>
    <i r="2">
      <x v="2"/>
    </i>
    <i r="2">
      <x v="5"/>
    </i>
    <i r="2">
      <x v="6"/>
    </i>
    <i r="2">
      <x v="9"/>
    </i>
    <i r="2">
      <x v="11"/>
    </i>
    <i r="2">
      <x v="12"/>
    </i>
    <i r="1">
      <x v="2"/>
      <x v="5"/>
    </i>
    <i r="2">
      <x v="6"/>
    </i>
    <i>
      <x v="305"/>
      <x/>
      <x/>
    </i>
    <i r="2">
      <x v="4"/>
    </i>
    <i r="2">
      <x v="5"/>
    </i>
    <i r="2">
      <x v="6"/>
    </i>
    <i r="2">
      <x v="9"/>
    </i>
    <i r="2">
      <x v="10"/>
    </i>
    <i r="2">
      <x v="11"/>
    </i>
    <i r="1">
      <x v="2"/>
      <x v="6"/>
    </i>
    <i>
      <x v="306"/>
      <x/>
      <x/>
    </i>
    <i r="2">
      <x v="5"/>
    </i>
    <i r="2">
      <x v="6"/>
    </i>
    <i r="2">
      <x v="9"/>
    </i>
    <i r="1">
      <x v="2"/>
      <x v="5"/>
    </i>
    <i r="2">
      <x v="6"/>
    </i>
  </rowItems>
  <colFields count="1">
    <field x="3"/>
  </colFields>
  <colItems count="8">
    <i>
      <x/>
    </i>
    <i>
      <x v="1"/>
    </i>
    <i>
      <x v="2"/>
    </i>
    <i>
      <x v="3"/>
    </i>
    <i>
      <x v="4"/>
    </i>
    <i>
      <x v="5"/>
    </i>
    <i>
      <x v="6"/>
    </i>
    <i>
      <x v="7"/>
    </i>
  </colItems>
  <dataFields count="1">
    <dataField name="Sum of Amount"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12.wa.us/default.aspx" TargetMode="External"/><Relationship Id="rId1" Type="http://schemas.openxmlformats.org/officeDocument/2006/relationships/hyperlink" Target="https://creativecommons.org/licenses/by/4.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k12.wa.us/safs-database-file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www.k12.wa.us/safs-database-fil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0.bin"/><Relationship Id="rId4" Type="http://schemas.openxmlformats.org/officeDocument/2006/relationships/hyperlink" Target="https://www.k12.wa.us/policy-funding/school-apportionment/instructions-and-tools/indirect-cost-rat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4:M6"/>
  <sheetViews>
    <sheetView workbookViewId="0"/>
  </sheetViews>
  <sheetFormatPr defaultRowHeight="12.75"/>
  <sheetData>
    <row r="4" spans="1:13" ht="23.25" customHeight="1">
      <c r="A4" s="265" t="s">
        <v>974</v>
      </c>
      <c r="B4" s="265"/>
      <c r="C4" s="265"/>
      <c r="D4" s="265"/>
      <c r="E4" s="265"/>
      <c r="F4" s="265"/>
      <c r="G4" s="265"/>
      <c r="H4" s="265"/>
      <c r="I4" s="265"/>
      <c r="J4" s="265"/>
      <c r="K4" s="265"/>
      <c r="L4" s="265"/>
      <c r="M4" s="265"/>
    </row>
    <row r="5" spans="1:13" ht="23.25" customHeight="1">
      <c r="A5" s="264" t="s">
        <v>938</v>
      </c>
      <c r="B5" s="264"/>
      <c r="C5" s="264"/>
      <c r="D5" s="264"/>
      <c r="E5" s="264"/>
      <c r="F5" s="264"/>
      <c r="G5" s="264"/>
      <c r="H5" s="264"/>
      <c r="I5" s="264"/>
      <c r="J5" s="264"/>
      <c r="K5" s="264"/>
      <c r="L5" s="264"/>
      <c r="M5" s="264"/>
    </row>
    <row r="6" spans="1:13" ht="23.25" customHeight="1">
      <c r="A6" s="264" t="s">
        <v>939</v>
      </c>
      <c r="B6" s="264"/>
      <c r="C6" s="264"/>
      <c r="D6" s="264"/>
      <c r="E6" s="264"/>
      <c r="F6" s="264"/>
      <c r="G6" s="264"/>
      <c r="H6" s="264"/>
      <c r="I6" s="264"/>
      <c r="J6" s="264"/>
      <c r="K6" s="264"/>
      <c r="L6" s="264"/>
      <c r="M6" s="264"/>
    </row>
  </sheetData>
  <mergeCells count="3">
    <mergeCell ref="A6:M6"/>
    <mergeCell ref="A5:M5"/>
    <mergeCell ref="A4:M4"/>
  </mergeCells>
  <hyperlinks>
    <hyperlink ref="A6:J6" r:id="rId1" display="under a Creative Commons Attribution 4.0 International License." xr:uid="{00000000-0004-0000-0000-000000000000}"/>
    <hyperlink ref="A5:J5" r:id="rId2" display="Office of Superintendent of Public Instruction is licensed " xr:uid="{00000000-0004-0000-0000-00000100000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A4F7-9006-447A-8B29-91BD88799702}">
  <sheetPr>
    <tabColor rgb="FF92D050"/>
  </sheetPr>
  <dimension ref="A1:G6300"/>
  <sheetViews>
    <sheetView workbookViewId="0">
      <selection activeCell="D326" sqref="D326"/>
    </sheetView>
  </sheetViews>
  <sheetFormatPr defaultRowHeight="12.75"/>
  <cols>
    <col min="1" max="5" width="9.140625" style="23"/>
  </cols>
  <sheetData>
    <row r="1" spans="1:7">
      <c r="A1" s="23" t="s">
        <v>584</v>
      </c>
      <c r="B1" s="23" t="s">
        <v>1590</v>
      </c>
      <c r="C1" s="23" t="s">
        <v>1002</v>
      </c>
      <c r="D1" s="23" t="s">
        <v>1003</v>
      </c>
      <c r="E1" s="23" t="s">
        <v>1591</v>
      </c>
      <c r="G1" s="226" t="s">
        <v>1772</v>
      </c>
    </row>
    <row r="2" spans="1:7" ht="15">
      <c r="A2" s="223" t="s">
        <v>51</v>
      </c>
      <c r="B2" s="223">
        <v>21</v>
      </c>
      <c r="C2" s="223">
        <v>21</v>
      </c>
      <c r="D2" s="223">
        <v>2</v>
      </c>
      <c r="E2" s="223">
        <v>128714</v>
      </c>
      <c r="G2" t="s">
        <v>1773</v>
      </c>
    </row>
    <row r="3" spans="1:7" ht="15">
      <c r="A3" s="223" t="s">
        <v>51</v>
      </c>
      <c r="B3" s="223">
        <v>21</v>
      </c>
      <c r="C3" s="223">
        <v>21</v>
      </c>
      <c r="D3" s="223">
        <v>3</v>
      </c>
      <c r="E3" s="223">
        <v>113149</v>
      </c>
    </row>
    <row r="4" spans="1:7" ht="15">
      <c r="A4" s="223" t="s">
        <v>51</v>
      </c>
      <c r="B4" s="223">
        <v>21</v>
      </c>
      <c r="C4" s="223">
        <v>21</v>
      </c>
      <c r="D4" s="223">
        <v>4</v>
      </c>
      <c r="E4" s="223">
        <v>94901</v>
      </c>
    </row>
    <row r="5" spans="1:7" ht="15">
      <c r="A5" s="223" t="s">
        <v>51</v>
      </c>
      <c r="B5" s="223">
        <v>21</v>
      </c>
      <c r="C5" s="223">
        <v>21</v>
      </c>
      <c r="D5" s="223">
        <v>5</v>
      </c>
      <c r="E5" s="223">
        <v>1000</v>
      </c>
    </row>
    <row r="6" spans="1:7" ht="15">
      <c r="A6" s="223" t="s">
        <v>51</v>
      </c>
      <c r="B6" s="223">
        <v>21</v>
      </c>
      <c r="C6" s="223">
        <v>26</v>
      </c>
      <c r="D6" s="223">
        <v>2</v>
      </c>
      <c r="E6" s="223">
        <v>136339</v>
      </c>
    </row>
    <row r="7" spans="1:7" ht="15">
      <c r="A7" s="223" t="s">
        <v>51</v>
      </c>
      <c r="B7" s="223">
        <v>21</v>
      </c>
      <c r="C7" s="223">
        <v>26</v>
      </c>
      <c r="D7" s="223">
        <v>3</v>
      </c>
      <c r="E7" s="223">
        <v>120477</v>
      </c>
    </row>
    <row r="8" spans="1:7" ht="15">
      <c r="A8" s="223" t="s">
        <v>51</v>
      </c>
      <c r="B8" s="223">
        <v>21</v>
      </c>
      <c r="C8" s="223">
        <v>26</v>
      </c>
      <c r="D8" s="223">
        <v>4</v>
      </c>
      <c r="E8" s="223">
        <v>102255</v>
      </c>
    </row>
    <row r="9" spans="1:7" ht="15">
      <c r="A9" s="223" t="s">
        <v>51</v>
      </c>
      <c r="B9" s="223">
        <v>21</v>
      </c>
      <c r="C9" s="223">
        <v>26</v>
      </c>
      <c r="D9" s="223">
        <v>5</v>
      </c>
      <c r="E9" s="223">
        <v>12000</v>
      </c>
    </row>
    <row r="10" spans="1:7" ht="15">
      <c r="A10" s="223" t="s">
        <v>51</v>
      </c>
      <c r="B10" s="223">
        <v>21</v>
      </c>
      <c r="C10" s="223">
        <v>26</v>
      </c>
      <c r="D10" s="223">
        <v>7</v>
      </c>
      <c r="E10" s="223">
        <v>133431</v>
      </c>
    </row>
    <row r="11" spans="1:7" ht="15">
      <c r="A11" s="223" t="s">
        <v>51</v>
      </c>
      <c r="B11" s="223">
        <v>21</v>
      </c>
      <c r="C11" s="223">
        <v>27</v>
      </c>
      <c r="D11" s="223">
        <v>2</v>
      </c>
      <c r="E11" s="223">
        <v>2179656</v>
      </c>
    </row>
    <row r="12" spans="1:7" ht="15">
      <c r="A12" s="223" t="s">
        <v>51</v>
      </c>
      <c r="B12" s="223">
        <v>21</v>
      </c>
      <c r="C12" s="223">
        <v>27</v>
      </c>
      <c r="D12" s="223">
        <v>3</v>
      </c>
      <c r="E12" s="223">
        <v>1301637</v>
      </c>
    </row>
    <row r="13" spans="1:7" ht="15">
      <c r="A13" s="223" t="s">
        <v>51</v>
      </c>
      <c r="B13" s="223">
        <v>21</v>
      </c>
      <c r="C13" s="223">
        <v>27</v>
      </c>
      <c r="D13" s="223">
        <v>4</v>
      </c>
      <c r="E13" s="223">
        <v>1777959</v>
      </c>
    </row>
    <row r="14" spans="1:7" ht="15">
      <c r="A14" s="223" t="s">
        <v>51</v>
      </c>
      <c r="B14" s="223">
        <v>21</v>
      </c>
      <c r="C14" s="223">
        <v>27</v>
      </c>
      <c r="D14" s="223">
        <v>5</v>
      </c>
      <c r="E14" s="223">
        <v>17500</v>
      </c>
    </row>
    <row r="15" spans="1:7" ht="15">
      <c r="A15" s="223" t="s">
        <v>51</v>
      </c>
      <c r="B15" s="223">
        <v>21</v>
      </c>
      <c r="C15" s="223">
        <v>27</v>
      </c>
      <c r="D15" s="223">
        <v>7</v>
      </c>
      <c r="E15" s="223">
        <v>10500</v>
      </c>
    </row>
    <row r="16" spans="1:7" ht="15">
      <c r="A16" s="223" t="s">
        <v>51</v>
      </c>
      <c r="B16" s="223">
        <v>21</v>
      </c>
      <c r="C16" s="223">
        <v>31</v>
      </c>
      <c r="D16" s="223">
        <v>5</v>
      </c>
      <c r="E16" s="223">
        <v>2000</v>
      </c>
    </row>
    <row r="17" spans="1:5" ht="15">
      <c r="A17" s="223" t="s">
        <v>51</v>
      </c>
      <c r="B17" s="223">
        <v>21</v>
      </c>
      <c r="C17" s="223">
        <v>34</v>
      </c>
      <c r="D17" s="223">
        <v>2</v>
      </c>
      <c r="E17" s="223">
        <v>52025</v>
      </c>
    </row>
    <row r="18" spans="1:5" ht="15">
      <c r="A18" s="223" t="s">
        <v>51</v>
      </c>
      <c r="B18" s="223">
        <v>21</v>
      </c>
      <c r="C18" s="223">
        <v>34</v>
      </c>
      <c r="D18" s="223">
        <v>4</v>
      </c>
      <c r="E18" s="223">
        <v>12266</v>
      </c>
    </row>
    <row r="19" spans="1:5" ht="15">
      <c r="A19" s="223" t="s">
        <v>51</v>
      </c>
      <c r="B19" s="223">
        <v>23</v>
      </c>
      <c r="C19" s="223">
        <v>26</v>
      </c>
      <c r="D19" s="223">
        <v>3</v>
      </c>
      <c r="E19" s="223">
        <v>59692</v>
      </c>
    </row>
    <row r="20" spans="1:5" ht="15">
      <c r="A20" s="223" t="s">
        <v>51</v>
      </c>
      <c r="B20" s="223">
        <v>23</v>
      </c>
      <c r="C20" s="223">
        <v>26</v>
      </c>
      <c r="D20" s="223">
        <v>4</v>
      </c>
      <c r="E20" s="223">
        <v>48244</v>
      </c>
    </row>
    <row r="21" spans="1:5" ht="15">
      <c r="A21" s="223" t="s">
        <v>51</v>
      </c>
      <c r="B21" s="223">
        <v>23</v>
      </c>
      <c r="C21" s="223">
        <v>26</v>
      </c>
      <c r="D21" s="223">
        <v>7</v>
      </c>
      <c r="E21" s="223">
        <v>15000</v>
      </c>
    </row>
    <row r="22" spans="1:5" ht="15">
      <c r="A22" s="223" t="s">
        <v>51</v>
      </c>
      <c r="B22" s="223">
        <v>24</v>
      </c>
      <c r="C22" s="223">
        <v>21</v>
      </c>
      <c r="D22" s="223">
        <v>2</v>
      </c>
      <c r="E22" s="223">
        <v>32179</v>
      </c>
    </row>
    <row r="23" spans="1:5" ht="15">
      <c r="A23" s="223" t="s">
        <v>51</v>
      </c>
      <c r="B23" s="223">
        <v>24</v>
      </c>
      <c r="C23" s="223">
        <v>21</v>
      </c>
      <c r="D23" s="223">
        <v>4</v>
      </c>
      <c r="E23" s="223">
        <v>8844</v>
      </c>
    </row>
    <row r="24" spans="1:5" ht="15">
      <c r="A24" s="223" t="s">
        <v>51</v>
      </c>
      <c r="B24" s="223">
        <v>24</v>
      </c>
      <c r="C24" s="223">
        <v>26</v>
      </c>
      <c r="D24" s="223">
        <v>2</v>
      </c>
      <c r="E24" s="223">
        <v>293364</v>
      </c>
    </row>
    <row r="25" spans="1:5" ht="15">
      <c r="A25" s="223" t="s">
        <v>51</v>
      </c>
      <c r="B25" s="223">
        <v>24</v>
      </c>
      <c r="C25" s="223">
        <v>26</v>
      </c>
      <c r="D25" s="223">
        <v>4</v>
      </c>
      <c r="E25" s="223">
        <v>105363</v>
      </c>
    </row>
    <row r="26" spans="1:5" ht="15">
      <c r="A26" s="223" t="s">
        <v>51</v>
      </c>
      <c r="B26" s="223">
        <v>24</v>
      </c>
      <c r="C26" s="223">
        <v>26</v>
      </c>
      <c r="D26" s="223">
        <v>7</v>
      </c>
      <c r="E26" s="223">
        <v>95000</v>
      </c>
    </row>
    <row r="27" spans="1:5" ht="15">
      <c r="A27" s="223" t="s">
        <v>51</v>
      </c>
      <c r="B27" s="223">
        <v>24</v>
      </c>
      <c r="C27" s="223">
        <v>27</v>
      </c>
      <c r="D27" s="223">
        <v>2</v>
      </c>
      <c r="E27" s="223">
        <v>213786</v>
      </c>
    </row>
    <row r="28" spans="1:5" ht="15">
      <c r="A28" s="223" t="s">
        <v>51</v>
      </c>
      <c r="B28" s="223">
        <v>24</v>
      </c>
      <c r="C28" s="223">
        <v>27</v>
      </c>
      <c r="D28" s="223">
        <v>4</v>
      </c>
      <c r="E28" s="223">
        <v>75477</v>
      </c>
    </row>
    <row r="29" spans="1:5" ht="15">
      <c r="A29" s="223" t="s">
        <v>53</v>
      </c>
      <c r="B29" s="223">
        <v>21</v>
      </c>
      <c r="C29" s="223">
        <v>27</v>
      </c>
      <c r="D29" s="223">
        <v>2</v>
      </c>
      <c r="E29" s="223">
        <v>201578</v>
      </c>
    </row>
    <row r="30" spans="1:5" ht="15">
      <c r="A30" s="223" t="s">
        <v>53</v>
      </c>
      <c r="B30" s="223">
        <v>21</v>
      </c>
      <c r="C30" s="223">
        <v>27</v>
      </c>
      <c r="D30" s="223">
        <v>3</v>
      </c>
      <c r="E30" s="223">
        <v>216686</v>
      </c>
    </row>
    <row r="31" spans="1:5" ht="15">
      <c r="A31" s="223" t="s">
        <v>53</v>
      </c>
      <c r="B31" s="223">
        <v>21</v>
      </c>
      <c r="C31" s="223">
        <v>27</v>
      </c>
      <c r="D31" s="223">
        <v>4</v>
      </c>
      <c r="E31" s="223">
        <v>239338</v>
      </c>
    </row>
    <row r="32" spans="1:5" ht="15">
      <c r="A32" s="223" t="s">
        <v>53</v>
      </c>
      <c r="B32" s="223">
        <v>21</v>
      </c>
      <c r="C32" s="223">
        <v>27</v>
      </c>
      <c r="D32" s="223">
        <v>5</v>
      </c>
      <c r="E32" s="223">
        <v>2699</v>
      </c>
    </row>
    <row r="33" spans="1:5" ht="15">
      <c r="A33" s="223" t="s">
        <v>53</v>
      </c>
      <c r="B33" s="223">
        <v>21</v>
      </c>
      <c r="C33" s="223">
        <v>27</v>
      </c>
      <c r="D33" s="223">
        <v>7</v>
      </c>
      <c r="E33" s="223">
        <v>293000</v>
      </c>
    </row>
    <row r="34" spans="1:5" ht="15">
      <c r="A34" s="223" t="s">
        <v>53</v>
      </c>
      <c r="B34" s="223">
        <v>24</v>
      </c>
      <c r="C34" s="223">
        <v>27</v>
      </c>
      <c r="D34" s="223">
        <v>7</v>
      </c>
      <c r="E34" s="223">
        <v>124779</v>
      </c>
    </row>
    <row r="35" spans="1:5" ht="15">
      <c r="A35" s="223" t="s">
        <v>55</v>
      </c>
      <c r="B35" s="223">
        <v>21</v>
      </c>
      <c r="C35" s="223">
        <v>21</v>
      </c>
      <c r="D35" s="223">
        <v>2</v>
      </c>
      <c r="E35" s="223">
        <v>31350</v>
      </c>
    </row>
    <row r="36" spans="1:5" ht="15">
      <c r="A36" s="223" t="s">
        <v>55</v>
      </c>
      <c r="B36" s="223">
        <v>21</v>
      </c>
      <c r="C36" s="223">
        <v>21</v>
      </c>
      <c r="D36" s="223">
        <v>4</v>
      </c>
      <c r="E36" s="223">
        <v>10848</v>
      </c>
    </row>
    <row r="37" spans="1:5" ht="15">
      <c r="A37" s="223" t="s">
        <v>55</v>
      </c>
      <c r="B37" s="223">
        <v>21</v>
      </c>
      <c r="C37" s="223">
        <v>26</v>
      </c>
      <c r="D37" s="223">
        <v>7</v>
      </c>
      <c r="E37" s="223">
        <v>35000</v>
      </c>
    </row>
    <row r="38" spans="1:5" ht="15">
      <c r="A38" s="223" t="s">
        <v>55</v>
      </c>
      <c r="B38" s="223">
        <v>21</v>
      </c>
      <c r="C38" s="223">
        <v>27</v>
      </c>
      <c r="D38" s="223">
        <v>2</v>
      </c>
      <c r="E38" s="223">
        <v>46339</v>
      </c>
    </row>
    <row r="39" spans="1:5" ht="15">
      <c r="A39" s="223" t="s">
        <v>55</v>
      </c>
      <c r="B39" s="223">
        <v>21</v>
      </c>
      <c r="C39" s="223">
        <v>27</v>
      </c>
      <c r="D39" s="223">
        <v>3</v>
      </c>
      <c r="E39" s="223">
        <v>19132</v>
      </c>
    </row>
    <row r="40" spans="1:5" ht="15">
      <c r="A40" s="223" t="s">
        <v>55</v>
      </c>
      <c r="B40" s="223">
        <v>21</v>
      </c>
      <c r="C40" s="223">
        <v>27</v>
      </c>
      <c r="D40" s="223">
        <v>4</v>
      </c>
      <c r="E40" s="223">
        <v>37076</v>
      </c>
    </row>
    <row r="41" spans="1:5" ht="15">
      <c r="A41" s="223" t="s">
        <v>55</v>
      </c>
      <c r="B41" s="223">
        <v>21</v>
      </c>
      <c r="C41" s="223">
        <v>27</v>
      </c>
      <c r="D41" s="223">
        <v>5</v>
      </c>
      <c r="E41" s="223">
        <v>2500</v>
      </c>
    </row>
    <row r="42" spans="1:5" ht="15">
      <c r="A42" s="223" t="s">
        <v>55</v>
      </c>
      <c r="B42" s="223">
        <v>24</v>
      </c>
      <c r="C42" s="223">
        <v>26</v>
      </c>
      <c r="D42" s="223">
        <v>7</v>
      </c>
      <c r="E42" s="223">
        <v>29500</v>
      </c>
    </row>
    <row r="43" spans="1:5" ht="15">
      <c r="A43" s="223" t="s">
        <v>182</v>
      </c>
      <c r="B43" s="223">
        <v>21</v>
      </c>
      <c r="C43" s="223">
        <v>21</v>
      </c>
      <c r="D43" s="223">
        <v>0</v>
      </c>
      <c r="E43" s="223">
        <v>1500</v>
      </c>
    </row>
    <row r="44" spans="1:5" ht="15">
      <c r="A44" s="223" t="s">
        <v>182</v>
      </c>
      <c r="B44" s="223">
        <v>21</v>
      </c>
      <c r="C44" s="223">
        <v>21</v>
      </c>
      <c r="D44" s="223">
        <v>2</v>
      </c>
      <c r="E44" s="223">
        <v>267771</v>
      </c>
    </row>
    <row r="45" spans="1:5" ht="15">
      <c r="A45" s="223" t="s">
        <v>182</v>
      </c>
      <c r="B45" s="223">
        <v>21</v>
      </c>
      <c r="C45" s="223">
        <v>21</v>
      </c>
      <c r="D45" s="223">
        <v>3</v>
      </c>
      <c r="E45" s="223">
        <v>71042</v>
      </c>
    </row>
    <row r="46" spans="1:5" ht="15">
      <c r="A46" s="223" t="s">
        <v>182</v>
      </c>
      <c r="B46" s="223">
        <v>21</v>
      </c>
      <c r="C46" s="223">
        <v>21</v>
      </c>
      <c r="D46" s="223">
        <v>4</v>
      </c>
      <c r="E46" s="223">
        <v>102959</v>
      </c>
    </row>
    <row r="47" spans="1:5" ht="15">
      <c r="A47" s="223" t="s">
        <v>182</v>
      </c>
      <c r="B47" s="223">
        <v>21</v>
      </c>
      <c r="C47" s="223">
        <v>21</v>
      </c>
      <c r="D47" s="223">
        <v>5</v>
      </c>
      <c r="E47" s="223">
        <v>900</v>
      </c>
    </row>
    <row r="48" spans="1:5" ht="15">
      <c r="A48" s="223" t="s">
        <v>182</v>
      </c>
      <c r="B48" s="223">
        <v>21</v>
      </c>
      <c r="C48" s="223">
        <v>21</v>
      </c>
      <c r="D48" s="223">
        <v>7</v>
      </c>
      <c r="E48" s="223">
        <v>13500</v>
      </c>
    </row>
    <row r="49" spans="1:5" ht="15">
      <c r="A49" s="223" t="s">
        <v>182</v>
      </c>
      <c r="B49" s="223">
        <v>21</v>
      </c>
      <c r="C49" s="223">
        <v>21</v>
      </c>
      <c r="D49" s="223">
        <v>8</v>
      </c>
      <c r="E49" s="223">
        <v>500</v>
      </c>
    </row>
    <row r="50" spans="1:5" ht="15">
      <c r="A50" s="223" t="s">
        <v>182</v>
      </c>
      <c r="B50" s="223">
        <v>21</v>
      </c>
      <c r="C50" s="223">
        <v>26</v>
      </c>
      <c r="D50" s="223">
        <v>2</v>
      </c>
      <c r="E50" s="223">
        <v>908961</v>
      </c>
    </row>
    <row r="51" spans="1:5" ht="15">
      <c r="A51" s="223" t="s">
        <v>182</v>
      </c>
      <c r="B51" s="223">
        <v>21</v>
      </c>
      <c r="C51" s="223">
        <v>26</v>
      </c>
      <c r="D51" s="223">
        <v>4</v>
      </c>
      <c r="E51" s="223">
        <v>326110</v>
      </c>
    </row>
    <row r="52" spans="1:5" ht="15">
      <c r="A52" s="223" t="s">
        <v>182</v>
      </c>
      <c r="B52" s="223">
        <v>21</v>
      </c>
      <c r="C52" s="223">
        <v>27</v>
      </c>
      <c r="D52" s="223">
        <v>2</v>
      </c>
      <c r="E52" s="223">
        <v>1414300</v>
      </c>
    </row>
    <row r="53" spans="1:5" ht="15">
      <c r="A53" s="223" t="s">
        <v>182</v>
      </c>
      <c r="B53" s="223">
        <v>21</v>
      </c>
      <c r="C53" s="223">
        <v>27</v>
      </c>
      <c r="D53" s="223">
        <v>3</v>
      </c>
      <c r="E53" s="223">
        <v>805986</v>
      </c>
    </row>
    <row r="54" spans="1:5" ht="15">
      <c r="A54" s="223" t="s">
        <v>182</v>
      </c>
      <c r="B54" s="223">
        <v>21</v>
      </c>
      <c r="C54" s="223">
        <v>27</v>
      </c>
      <c r="D54" s="223">
        <v>4</v>
      </c>
      <c r="E54" s="223">
        <v>1027878</v>
      </c>
    </row>
    <row r="55" spans="1:5" ht="15">
      <c r="A55" s="223" t="s">
        <v>182</v>
      </c>
      <c r="B55" s="223">
        <v>21</v>
      </c>
      <c r="C55" s="223">
        <v>27</v>
      </c>
      <c r="D55" s="223">
        <v>7</v>
      </c>
      <c r="E55" s="223">
        <v>130347</v>
      </c>
    </row>
    <row r="56" spans="1:5" ht="15">
      <c r="A56" s="223" t="s">
        <v>182</v>
      </c>
      <c r="B56" s="223">
        <v>21</v>
      </c>
      <c r="C56" s="223">
        <v>31</v>
      </c>
      <c r="D56" s="223">
        <v>5</v>
      </c>
      <c r="E56" s="223">
        <v>500</v>
      </c>
    </row>
    <row r="57" spans="1:5" ht="15">
      <c r="A57" s="223" t="s">
        <v>182</v>
      </c>
      <c r="B57" s="223">
        <v>21</v>
      </c>
      <c r="C57" s="223">
        <v>31</v>
      </c>
      <c r="D57" s="223">
        <v>7</v>
      </c>
      <c r="E57" s="223">
        <v>5000</v>
      </c>
    </row>
    <row r="58" spans="1:5" ht="15">
      <c r="A58" s="223" t="s">
        <v>182</v>
      </c>
      <c r="B58" s="223">
        <v>21</v>
      </c>
      <c r="C58" s="223">
        <v>31</v>
      </c>
      <c r="D58" s="223">
        <v>8</v>
      </c>
      <c r="E58" s="223">
        <v>500</v>
      </c>
    </row>
    <row r="59" spans="1:5" ht="15">
      <c r="A59" s="223" t="s">
        <v>182</v>
      </c>
      <c r="B59" s="223">
        <v>21</v>
      </c>
      <c r="C59" s="223">
        <v>34</v>
      </c>
      <c r="D59" s="223">
        <v>2</v>
      </c>
      <c r="E59" s="223">
        <v>39064</v>
      </c>
    </row>
    <row r="60" spans="1:5" ht="15">
      <c r="A60" s="223" t="s">
        <v>182</v>
      </c>
      <c r="B60" s="223">
        <v>21</v>
      </c>
      <c r="C60" s="223">
        <v>34</v>
      </c>
      <c r="D60" s="223">
        <v>4</v>
      </c>
      <c r="E60" s="223">
        <v>9021</v>
      </c>
    </row>
    <row r="61" spans="1:5" ht="15">
      <c r="A61" s="223" t="s">
        <v>182</v>
      </c>
      <c r="B61" s="223">
        <v>24</v>
      </c>
      <c r="C61" s="223">
        <v>26</v>
      </c>
      <c r="D61" s="223">
        <v>5</v>
      </c>
      <c r="E61" s="223">
        <v>9000</v>
      </c>
    </row>
    <row r="62" spans="1:5" ht="15">
      <c r="A62" s="223" t="s">
        <v>182</v>
      </c>
      <c r="B62" s="223">
        <v>24</v>
      </c>
      <c r="C62" s="223">
        <v>26</v>
      </c>
      <c r="D62" s="223">
        <v>7</v>
      </c>
      <c r="E62" s="223">
        <v>2000</v>
      </c>
    </row>
    <row r="63" spans="1:5" ht="15">
      <c r="A63" s="223" t="s">
        <v>182</v>
      </c>
      <c r="B63" s="223">
        <v>24</v>
      </c>
      <c r="C63" s="223">
        <v>26</v>
      </c>
      <c r="D63" s="223">
        <v>8</v>
      </c>
      <c r="E63" s="223">
        <v>200</v>
      </c>
    </row>
    <row r="64" spans="1:5" ht="15">
      <c r="A64" s="223" t="s">
        <v>182</v>
      </c>
      <c r="B64" s="223">
        <v>24</v>
      </c>
      <c r="C64" s="223">
        <v>27</v>
      </c>
      <c r="D64" s="223">
        <v>3</v>
      </c>
      <c r="E64" s="223">
        <v>83137</v>
      </c>
    </row>
    <row r="65" spans="1:5" ht="15">
      <c r="A65" s="223" t="s">
        <v>182</v>
      </c>
      <c r="B65" s="223">
        <v>24</v>
      </c>
      <c r="C65" s="223">
        <v>27</v>
      </c>
      <c r="D65" s="223">
        <v>4</v>
      </c>
      <c r="E65" s="223">
        <v>40647</v>
      </c>
    </row>
    <row r="66" spans="1:5" ht="15">
      <c r="A66" s="223" t="s">
        <v>182</v>
      </c>
      <c r="B66" s="223">
        <v>24</v>
      </c>
      <c r="C66" s="223">
        <v>27</v>
      </c>
      <c r="D66" s="223">
        <v>5</v>
      </c>
      <c r="E66" s="223">
        <v>6000</v>
      </c>
    </row>
    <row r="67" spans="1:5" ht="15">
      <c r="A67" s="223" t="s">
        <v>182</v>
      </c>
      <c r="B67" s="223">
        <v>24</v>
      </c>
      <c r="C67" s="223">
        <v>27</v>
      </c>
      <c r="D67" s="223">
        <v>7</v>
      </c>
      <c r="E67" s="223">
        <v>377653</v>
      </c>
    </row>
    <row r="68" spans="1:5" ht="15">
      <c r="A68" s="223" t="s">
        <v>182</v>
      </c>
      <c r="B68" s="223">
        <v>24</v>
      </c>
      <c r="C68" s="223">
        <v>27</v>
      </c>
      <c r="D68" s="223">
        <v>8</v>
      </c>
      <c r="E68" s="223">
        <v>300</v>
      </c>
    </row>
    <row r="69" spans="1:5" ht="15">
      <c r="A69" s="223" t="s">
        <v>471</v>
      </c>
      <c r="B69" s="223">
        <v>21</v>
      </c>
      <c r="C69" s="223">
        <v>21</v>
      </c>
      <c r="D69" s="223">
        <v>2</v>
      </c>
      <c r="E69" s="223">
        <v>265581</v>
      </c>
    </row>
    <row r="70" spans="1:5" ht="15">
      <c r="A70" s="223" t="s">
        <v>471</v>
      </c>
      <c r="B70" s="223">
        <v>21</v>
      </c>
      <c r="C70" s="223">
        <v>21</v>
      </c>
      <c r="D70" s="223">
        <v>3</v>
      </c>
      <c r="E70" s="223">
        <v>180233</v>
      </c>
    </row>
    <row r="71" spans="1:5" ht="15">
      <c r="A71" s="223" t="s">
        <v>471</v>
      </c>
      <c r="B71" s="223">
        <v>21</v>
      </c>
      <c r="C71" s="223">
        <v>21</v>
      </c>
      <c r="D71" s="223">
        <v>4</v>
      </c>
      <c r="E71" s="223">
        <v>150057</v>
      </c>
    </row>
    <row r="72" spans="1:5" ht="15">
      <c r="A72" s="223" t="s">
        <v>471</v>
      </c>
      <c r="B72" s="223">
        <v>21</v>
      </c>
      <c r="C72" s="223">
        <v>21</v>
      </c>
      <c r="D72" s="223">
        <v>5</v>
      </c>
      <c r="E72" s="223">
        <v>800</v>
      </c>
    </row>
    <row r="73" spans="1:5" ht="15">
      <c r="A73" s="223" t="s">
        <v>471</v>
      </c>
      <c r="B73" s="223">
        <v>21</v>
      </c>
      <c r="C73" s="223">
        <v>21</v>
      </c>
      <c r="D73" s="223">
        <v>7</v>
      </c>
      <c r="E73" s="223">
        <v>1350</v>
      </c>
    </row>
    <row r="74" spans="1:5" ht="15">
      <c r="A74" s="223" t="s">
        <v>471</v>
      </c>
      <c r="B74" s="223">
        <v>21</v>
      </c>
      <c r="C74" s="223">
        <v>26</v>
      </c>
      <c r="D74" s="223">
        <v>2</v>
      </c>
      <c r="E74" s="223">
        <v>1194212</v>
      </c>
    </row>
    <row r="75" spans="1:5" ht="15">
      <c r="A75" s="223" t="s">
        <v>471</v>
      </c>
      <c r="B75" s="223">
        <v>21</v>
      </c>
      <c r="C75" s="223">
        <v>26</v>
      </c>
      <c r="D75" s="223">
        <v>3</v>
      </c>
      <c r="E75" s="223">
        <v>92457</v>
      </c>
    </row>
    <row r="76" spans="1:5" ht="15">
      <c r="A76" s="223" t="s">
        <v>471</v>
      </c>
      <c r="B76" s="223">
        <v>21</v>
      </c>
      <c r="C76" s="223">
        <v>26</v>
      </c>
      <c r="D76" s="223">
        <v>4</v>
      </c>
      <c r="E76" s="223">
        <v>460538</v>
      </c>
    </row>
    <row r="77" spans="1:5" ht="15">
      <c r="A77" s="223" t="s">
        <v>471</v>
      </c>
      <c r="B77" s="223">
        <v>21</v>
      </c>
      <c r="C77" s="223">
        <v>26</v>
      </c>
      <c r="D77" s="223">
        <v>7</v>
      </c>
      <c r="E77" s="223">
        <v>580000</v>
      </c>
    </row>
    <row r="78" spans="1:5" ht="15">
      <c r="A78" s="223" t="s">
        <v>471</v>
      </c>
      <c r="B78" s="223">
        <v>21</v>
      </c>
      <c r="C78" s="223">
        <v>27</v>
      </c>
      <c r="D78" s="223">
        <v>2</v>
      </c>
      <c r="E78" s="223">
        <v>4177261</v>
      </c>
    </row>
    <row r="79" spans="1:5" ht="15">
      <c r="A79" s="223" t="s">
        <v>471</v>
      </c>
      <c r="B79" s="223">
        <v>21</v>
      </c>
      <c r="C79" s="223">
        <v>27</v>
      </c>
      <c r="D79" s="223">
        <v>3</v>
      </c>
      <c r="E79" s="223">
        <v>2766142</v>
      </c>
    </row>
    <row r="80" spans="1:5" ht="15">
      <c r="A80" s="223" t="s">
        <v>471</v>
      </c>
      <c r="B80" s="223">
        <v>21</v>
      </c>
      <c r="C80" s="223">
        <v>27</v>
      </c>
      <c r="D80" s="223">
        <v>4</v>
      </c>
      <c r="E80" s="223">
        <v>2956003</v>
      </c>
    </row>
    <row r="81" spans="1:5" ht="15">
      <c r="A81" s="223" t="s">
        <v>471</v>
      </c>
      <c r="B81" s="223">
        <v>21</v>
      </c>
      <c r="C81" s="223">
        <v>27</v>
      </c>
      <c r="D81" s="223">
        <v>5</v>
      </c>
      <c r="E81" s="223">
        <v>34500</v>
      </c>
    </row>
    <row r="82" spans="1:5" ht="15">
      <c r="A82" s="223" t="s">
        <v>471</v>
      </c>
      <c r="B82" s="223">
        <v>21</v>
      </c>
      <c r="C82" s="223">
        <v>27</v>
      </c>
      <c r="D82" s="223">
        <v>7</v>
      </c>
      <c r="E82" s="223">
        <v>789000</v>
      </c>
    </row>
    <row r="83" spans="1:5" ht="15">
      <c r="A83" s="223" t="s">
        <v>471</v>
      </c>
      <c r="B83" s="223">
        <v>21</v>
      </c>
      <c r="C83" s="223">
        <v>29</v>
      </c>
      <c r="D83" s="223">
        <v>7</v>
      </c>
      <c r="E83" s="223">
        <v>170000</v>
      </c>
    </row>
    <row r="84" spans="1:5" ht="15">
      <c r="A84" s="223" t="s">
        <v>471</v>
      </c>
      <c r="B84" s="223">
        <v>21</v>
      </c>
      <c r="C84" s="223">
        <v>31</v>
      </c>
      <c r="D84" s="223">
        <v>7</v>
      </c>
      <c r="E84" s="223">
        <v>20000</v>
      </c>
    </row>
    <row r="85" spans="1:5" ht="15">
      <c r="A85" s="223" t="s">
        <v>471</v>
      </c>
      <c r="B85" s="223">
        <v>23</v>
      </c>
      <c r="C85" s="223">
        <v>27</v>
      </c>
      <c r="D85" s="223">
        <v>7</v>
      </c>
      <c r="E85" s="223">
        <v>213137</v>
      </c>
    </row>
    <row r="86" spans="1:5" ht="15">
      <c r="A86" s="223" t="s">
        <v>471</v>
      </c>
      <c r="B86" s="223">
        <v>24</v>
      </c>
      <c r="C86" s="223">
        <v>26</v>
      </c>
      <c r="D86" s="223">
        <v>2</v>
      </c>
      <c r="E86" s="223">
        <v>686623</v>
      </c>
    </row>
    <row r="87" spans="1:5" ht="15">
      <c r="A87" s="223" t="s">
        <v>471</v>
      </c>
      <c r="B87" s="223">
        <v>24</v>
      </c>
      <c r="C87" s="223">
        <v>26</v>
      </c>
      <c r="D87" s="223">
        <v>4</v>
      </c>
      <c r="E87" s="223">
        <v>228540</v>
      </c>
    </row>
    <row r="88" spans="1:5" ht="15">
      <c r="A88" s="223" t="s">
        <v>471</v>
      </c>
      <c r="B88" s="223">
        <v>24</v>
      </c>
      <c r="C88" s="223">
        <v>26</v>
      </c>
      <c r="D88" s="223">
        <v>7</v>
      </c>
      <c r="E88" s="223">
        <v>79220</v>
      </c>
    </row>
    <row r="89" spans="1:5" ht="15">
      <c r="A89" s="223" t="s">
        <v>471</v>
      </c>
      <c r="B89" s="223">
        <v>24</v>
      </c>
      <c r="C89" s="223">
        <v>27</v>
      </c>
      <c r="D89" s="223">
        <v>2</v>
      </c>
      <c r="E89" s="223">
        <v>3000</v>
      </c>
    </row>
    <row r="90" spans="1:5" ht="15">
      <c r="A90" s="223" t="s">
        <v>471</v>
      </c>
      <c r="B90" s="223">
        <v>24</v>
      </c>
      <c r="C90" s="223">
        <v>27</v>
      </c>
      <c r="D90" s="223">
        <v>3</v>
      </c>
      <c r="E90" s="223">
        <v>29075</v>
      </c>
    </row>
    <row r="91" spans="1:5" ht="15">
      <c r="A91" s="223" t="s">
        <v>471</v>
      </c>
      <c r="B91" s="223">
        <v>24</v>
      </c>
      <c r="C91" s="223">
        <v>27</v>
      </c>
      <c r="D91" s="223">
        <v>4</v>
      </c>
      <c r="E91" s="223">
        <v>18882</v>
      </c>
    </row>
    <row r="92" spans="1:5" ht="15">
      <c r="A92" s="223" t="s">
        <v>473</v>
      </c>
      <c r="B92" s="223">
        <v>21</v>
      </c>
      <c r="C92" s="223">
        <v>21</v>
      </c>
      <c r="D92" s="223">
        <v>2</v>
      </c>
      <c r="E92" s="223">
        <v>3542</v>
      </c>
    </row>
    <row r="93" spans="1:5" ht="15">
      <c r="A93" s="223" t="s">
        <v>473</v>
      </c>
      <c r="B93" s="223">
        <v>21</v>
      </c>
      <c r="C93" s="223">
        <v>21</v>
      </c>
      <c r="D93" s="223">
        <v>3</v>
      </c>
      <c r="E93" s="223">
        <v>11680</v>
      </c>
    </row>
    <row r="94" spans="1:5" ht="15">
      <c r="A94" s="223" t="s">
        <v>473</v>
      </c>
      <c r="B94" s="223">
        <v>21</v>
      </c>
      <c r="C94" s="223">
        <v>21</v>
      </c>
      <c r="D94" s="223">
        <v>4</v>
      </c>
      <c r="E94" s="223">
        <v>6485</v>
      </c>
    </row>
    <row r="95" spans="1:5" ht="15">
      <c r="A95" s="223" t="s">
        <v>473</v>
      </c>
      <c r="B95" s="223">
        <v>21</v>
      </c>
      <c r="C95" s="223">
        <v>26</v>
      </c>
      <c r="D95" s="223">
        <v>2</v>
      </c>
      <c r="E95" s="223">
        <v>105885</v>
      </c>
    </row>
    <row r="96" spans="1:5" ht="15">
      <c r="A96" s="223" t="s">
        <v>473</v>
      </c>
      <c r="B96" s="223">
        <v>21</v>
      </c>
      <c r="C96" s="223">
        <v>26</v>
      </c>
      <c r="D96" s="223">
        <v>4</v>
      </c>
      <c r="E96" s="223">
        <v>42934</v>
      </c>
    </row>
    <row r="97" spans="1:5" ht="15">
      <c r="A97" s="223" t="s">
        <v>473</v>
      </c>
      <c r="B97" s="223">
        <v>21</v>
      </c>
      <c r="C97" s="223">
        <v>27</v>
      </c>
      <c r="D97" s="223">
        <v>0</v>
      </c>
      <c r="E97" s="223">
        <v>3000</v>
      </c>
    </row>
    <row r="98" spans="1:5" ht="15">
      <c r="A98" s="223" t="s">
        <v>473</v>
      </c>
      <c r="B98" s="223">
        <v>21</v>
      </c>
      <c r="C98" s="223">
        <v>27</v>
      </c>
      <c r="D98" s="223">
        <v>2</v>
      </c>
      <c r="E98" s="223">
        <v>183372</v>
      </c>
    </row>
    <row r="99" spans="1:5" ht="15">
      <c r="A99" s="223" t="s">
        <v>473</v>
      </c>
      <c r="B99" s="223">
        <v>21</v>
      </c>
      <c r="C99" s="223">
        <v>27</v>
      </c>
      <c r="D99" s="223">
        <v>3</v>
      </c>
      <c r="E99" s="223">
        <v>167993</v>
      </c>
    </row>
    <row r="100" spans="1:5" ht="15">
      <c r="A100" s="223" t="s">
        <v>473</v>
      </c>
      <c r="B100" s="223">
        <v>21</v>
      </c>
      <c r="C100" s="223">
        <v>27</v>
      </c>
      <c r="D100" s="223">
        <v>4</v>
      </c>
      <c r="E100" s="223">
        <v>197879</v>
      </c>
    </row>
    <row r="101" spans="1:5" ht="15">
      <c r="A101" s="223" t="s">
        <v>473</v>
      </c>
      <c r="B101" s="223">
        <v>21</v>
      </c>
      <c r="C101" s="223">
        <v>27</v>
      </c>
      <c r="D101" s="223">
        <v>5</v>
      </c>
      <c r="E101" s="223">
        <v>4500</v>
      </c>
    </row>
    <row r="102" spans="1:5" ht="15">
      <c r="A102" s="223" t="s">
        <v>473</v>
      </c>
      <c r="B102" s="223">
        <v>21</v>
      </c>
      <c r="C102" s="223">
        <v>32</v>
      </c>
      <c r="D102" s="223">
        <v>5</v>
      </c>
      <c r="E102" s="223">
        <v>3030</v>
      </c>
    </row>
    <row r="103" spans="1:5" ht="15">
      <c r="A103" s="223" t="s">
        <v>473</v>
      </c>
      <c r="B103" s="223">
        <v>21</v>
      </c>
      <c r="C103" s="223">
        <v>32</v>
      </c>
      <c r="D103" s="223">
        <v>7</v>
      </c>
      <c r="E103" s="223">
        <v>784</v>
      </c>
    </row>
    <row r="104" spans="1:5" ht="15">
      <c r="A104" s="223" t="s">
        <v>473</v>
      </c>
      <c r="B104" s="223">
        <v>24</v>
      </c>
      <c r="C104" s="223">
        <v>21</v>
      </c>
      <c r="D104" s="223">
        <v>2</v>
      </c>
      <c r="E104" s="223">
        <v>39995</v>
      </c>
    </row>
    <row r="105" spans="1:5" ht="15">
      <c r="A105" s="223" t="s">
        <v>473</v>
      </c>
      <c r="B105" s="223">
        <v>24</v>
      </c>
      <c r="C105" s="223">
        <v>21</v>
      </c>
      <c r="D105" s="223">
        <v>4</v>
      </c>
      <c r="E105" s="223">
        <v>12393</v>
      </c>
    </row>
    <row r="106" spans="1:5" ht="15">
      <c r="A106" s="223" t="s">
        <v>473</v>
      </c>
      <c r="B106" s="223">
        <v>24</v>
      </c>
      <c r="C106" s="223">
        <v>27</v>
      </c>
      <c r="D106" s="223">
        <v>3</v>
      </c>
      <c r="E106" s="223">
        <v>42138</v>
      </c>
    </row>
    <row r="107" spans="1:5" ht="15">
      <c r="A107" s="223" t="s">
        <v>473</v>
      </c>
      <c r="B107" s="223">
        <v>24</v>
      </c>
      <c r="C107" s="223">
        <v>27</v>
      </c>
      <c r="D107" s="223">
        <v>4</v>
      </c>
      <c r="E107" s="223">
        <v>30709</v>
      </c>
    </row>
    <row r="108" spans="1:5" ht="15">
      <c r="A108" s="223" t="s">
        <v>473</v>
      </c>
      <c r="B108" s="223">
        <v>24</v>
      </c>
      <c r="C108" s="223">
        <v>27</v>
      </c>
      <c r="D108" s="223">
        <v>5</v>
      </c>
      <c r="E108" s="223">
        <v>363</v>
      </c>
    </row>
    <row r="109" spans="1:5" ht="15">
      <c r="A109" s="223" t="s">
        <v>474</v>
      </c>
      <c r="B109" s="223">
        <v>21</v>
      </c>
      <c r="C109" s="223">
        <v>21</v>
      </c>
      <c r="D109" s="223">
        <v>2</v>
      </c>
      <c r="E109" s="223">
        <v>780787</v>
      </c>
    </row>
    <row r="110" spans="1:5" ht="15">
      <c r="A110" s="223" t="s">
        <v>474</v>
      </c>
      <c r="B110" s="223">
        <v>21</v>
      </c>
      <c r="C110" s="223">
        <v>21</v>
      </c>
      <c r="D110" s="223">
        <v>3</v>
      </c>
      <c r="E110" s="223">
        <v>225067</v>
      </c>
    </row>
    <row r="111" spans="1:5" ht="15">
      <c r="A111" s="223" t="s">
        <v>474</v>
      </c>
      <c r="B111" s="223">
        <v>21</v>
      </c>
      <c r="C111" s="223">
        <v>21</v>
      </c>
      <c r="D111" s="223">
        <v>4</v>
      </c>
      <c r="E111" s="223">
        <v>275331</v>
      </c>
    </row>
    <row r="112" spans="1:5" ht="15">
      <c r="A112" s="223" t="s">
        <v>474</v>
      </c>
      <c r="B112" s="223">
        <v>21</v>
      </c>
      <c r="C112" s="223">
        <v>25</v>
      </c>
      <c r="D112" s="223">
        <v>3</v>
      </c>
      <c r="E112" s="223">
        <v>392037</v>
      </c>
    </row>
    <row r="113" spans="1:5" ht="15">
      <c r="A113" s="223" t="s">
        <v>474</v>
      </c>
      <c r="B113" s="223">
        <v>21</v>
      </c>
      <c r="C113" s="223">
        <v>25</v>
      </c>
      <c r="D113" s="223">
        <v>4</v>
      </c>
      <c r="E113" s="223">
        <v>367473</v>
      </c>
    </row>
    <row r="114" spans="1:5" ht="15">
      <c r="A114" s="223" t="s">
        <v>474</v>
      </c>
      <c r="B114" s="223">
        <v>21</v>
      </c>
      <c r="C114" s="223">
        <v>26</v>
      </c>
      <c r="D114" s="223">
        <v>2</v>
      </c>
      <c r="E114" s="223">
        <v>6720799</v>
      </c>
    </row>
    <row r="115" spans="1:5" ht="15">
      <c r="A115" s="223" t="s">
        <v>474</v>
      </c>
      <c r="B115" s="223">
        <v>21</v>
      </c>
      <c r="C115" s="223">
        <v>26</v>
      </c>
      <c r="D115" s="223">
        <v>3</v>
      </c>
      <c r="E115" s="223">
        <v>1236504</v>
      </c>
    </row>
    <row r="116" spans="1:5" ht="15">
      <c r="A116" s="223" t="s">
        <v>474</v>
      </c>
      <c r="B116" s="223">
        <v>21</v>
      </c>
      <c r="C116" s="223">
        <v>26</v>
      </c>
      <c r="D116" s="223">
        <v>4</v>
      </c>
      <c r="E116" s="223">
        <v>2944764</v>
      </c>
    </row>
    <row r="117" spans="1:5" ht="15">
      <c r="A117" s="223" t="s">
        <v>474</v>
      </c>
      <c r="B117" s="223">
        <v>21</v>
      </c>
      <c r="C117" s="223">
        <v>26</v>
      </c>
      <c r="D117" s="223">
        <v>5</v>
      </c>
      <c r="E117" s="223">
        <v>77600</v>
      </c>
    </row>
    <row r="118" spans="1:5" ht="15">
      <c r="A118" s="223" t="s">
        <v>474</v>
      </c>
      <c r="B118" s="223">
        <v>21</v>
      </c>
      <c r="C118" s="223">
        <v>26</v>
      </c>
      <c r="D118" s="223">
        <v>7</v>
      </c>
      <c r="E118" s="223">
        <v>1350613</v>
      </c>
    </row>
    <row r="119" spans="1:5" ht="15">
      <c r="A119" s="223" t="s">
        <v>474</v>
      </c>
      <c r="B119" s="223">
        <v>21</v>
      </c>
      <c r="C119" s="223">
        <v>26</v>
      </c>
      <c r="D119" s="223">
        <v>8</v>
      </c>
      <c r="E119" s="223">
        <v>8500</v>
      </c>
    </row>
    <row r="120" spans="1:5" ht="15">
      <c r="A120" s="223" t="s">
        <v>474</v>
      </c>
      <c r="B120" s="223">
        <v>21</v>
      </c>
      <c r="C120" s="223">
        <v>27</v>
      </c>
      <c r="D120" s="223">
        <v>2</v>
      </c>
      <c r="E120" s="223">
        <v>9418252</v>
      </c>
    </row>
    <row r="121" spans="1:5" ht="15">
      <c r="A121" s="223" t="s">
        <v>474</v>
      </c>
      <c r="B121" s="223">
        <v>21</v>
      </c>
      <c r="C121" s="223">
        <v>27</v>
      </c>
      <c r="D121" s="223">
        <v>3</v>
      </c>
      <c r="E121" s="223">
        <v>7585092</v>
      </c>
    </row>
    <row r="122" spans="1:5" ht="15">
      <c r="A122" s="223" t="s">
        <v>474</v>
      </c>
      <c r="B122" s="223">
        <v>21</v>
      </c>
      <c r="C122" s="223">
        <v>27</v>
      </c>
      <c r="D122" s="223">
        <v>4</v>
      </c>
      <c r="E122" s="223">
        <v>7499399</v>
      </c>
    </row>
    <row r="123" spans="1:5" ht="15">
      <c r="A123" s="223" t="s">
        <v>474</v>
      </c>
      <c r="B123" s="223">
        <v>21</v>
      </c>
      <c r="C123" s="223">
        <v>27</v>
      </c>
      <c r="D123" s="223">
        <v>5</v>
      </c>
      <c r="E123" s="223">
        <v>36849</v>
      </c>
    </row>
    <row r="124" spans="1:5" ht="15">
      <c r="A124" s="223" t="s">
        <v>474</v>
      </c>
      <c r="B124" s="223">
        <v>21</v>
      </c>
      <c r="C124" s="223">
        <v>27</v>
      </c>
      <c r="D124" s="223">
        <v>7</v>
      </c>
      <c r="E124" s="223">
        <v>36038</v>
      </c>
    </row>
    <row r="125" spans="1:5" ht="15">
      <c r="A125" s="223" t="s">
        <v>474</v>
      </c>
      <c r="B125" s="223">
        <v>21</v>
      </c>
      <c r="C125" s="223">
        <v>27</v>
      </c>
      <c r="D125" s="223">
        <v>8</v>
      </c>
      <c r="E125" s="223">
        <v>5500</v>
      </c>
    </row>
    <row r="126" spans="1:5" ht="15">
      <c r="A126" s="223" t="s">
        <v>474</v>
      </c>
      <c r="B126" s="223">
        <v>21</v>
      </c>
      <c r="C126" s="223">
        <v>29</v>
      </c>
      <c r="D126" s="223">
        <v>7</v>
      </c>
      <c r="E126" s="223">
        <v>770000</v>
      </c>
    </row>
    <row r="127" spans="1:5" ht="15">
      <c r="A127" s="223" t="s">
        <v>474</v>
      </c>
      <c r="B127" s="223">
        <v>21</v>
      </c>
      <c r="C127" s="223">
        <v>31</v>
      </c>
      <c r="D127" s="223">
        <v>2</v>
      </c>
      <c r="E127" s="223">
        <v>1941920</v>
      </c>
    </row>
    <row r="128" spans="1:5" ht="15">
      <c r="A128" s="223" t="s">
        <v>474</v>
      </c>
      <c r="B128" s="223">
        <v>21</v>
      </c>
      <c r="C128" s="223">
        <v>31</v>
      </c>
      <c r="D128" s="223">
        <v>4</v>
      </c>
      <c r="E128" s="223">
        <v>256860</v>
      </c>
    </row>
    <row r="129" spans="1:5" ht="15">
      <c r="A129" s="223" t="s">
        <v>474</v>
      </c>
      <c r="B129" s="223">
        <v>21</v>
      </c>
      <c r="C129" s="223">
        <v>31</v>
      </c>
      <c r="D129" s="223">
        <v>7</v>
      </c>
      <c r="E129" s="223">
        <v>24100</v>
      </c>
    </row>
    <row r="130" spans="1:5" ht="15">
      <c r="A130" s="223" t="s">
        <v>474</v>
      </c>
      <c r="B130" s="223">
        <v>21</v>
      </c>
      <c r="C130" s="223">
        <v>31</v>
      </c>
      <c r="D130" s="223">
        <v>8</v>
      </c>
      <c r="E130" s="223">
        <v>5000</v>
      </c>
    </row>
    <row r="131" spans="1:5" ht="15">
      <c r="A131" s="223" t="s">
        <v>474</v>
      </c>
      <c r="B131" s="223">
        <v>21</v>
      </c>
      <c r="C131" s="223">
        <v>32</v>
      </c>
      <c r="D131" s="223">
        <v>5</v>
      </c>
      <c r="E131" s="223">
        <v>7500</v>
      </c>
    </row>
    <row r="132" spans="1:5" ht="15">
      <c r="A132" s="223" t="s">
        <v>474</v>
      </c>
      <c r="B132" s="223">
        <v>21</v>
      </c>
      <c r="C132" s="223">
        <v>33</v>
      </c>
      <c r="D132" s="223">
        <v>5</v>
      </c>
      <c r="E132" s="223">
        <v>95433</v>
      </c>
    </row>
    <row r="133" spans="1:5" ht="15">
      <c r="A133" s="223" t="s">
        <v>474</v>
      </c>
      <c r="B133" s="223">
        <v>21</v>
      </c>
      <c r="C133" s="223">
        <v>33</v>
      </c>
      <c r="D133" s="223">
        <v>7</v>
      </c>
      <c r="E133" s="223">
        <v>20000</v>
      </c>
    </row>
    <row r="134" spans="1:5" ht="15">
      <c r="A134" s="223" t="s">
        <v>474</v>
      </c>
      <c r="B134" s="223">
        <v>24</v>
      </c>
      <c r="C134" s="223">
        <v>21</v>
      </c>
      <c r="D134" s="223">
        <v>2</v>
      </c>
      <c r="E134" s="223">
        <v>415960</v>
      </c>
    </row>
    <row r="135" spans="1:5" ht="15">
      <c r="A135" s="223" t="s">
        <v>474</v>
      </c>
      <c r="B135" s="223">
        <v>24</v>
      </c>
      <c r="C135" s="223">
        <v>21</v>
      </c>
      <c r="D135" s="223">
        <v>4</v>
      </c>
      <c r="E135" s="223">
        <v>90730</v>
      </c>
    </row>
    <row r="136" spans="1:5" ht="15">
      <c r="A136" s="223" t="s">
        <v>474</v>
      </c>
      <c r="B136" s="223">
        <v>24</v>
      </c>
      <c r="C136" s="223">
        <v>26</v>
      </c>
      <c r="D136" s="223">
        <v>7</v>
      </c>
      <c r="E136" s="223">
        <v>564978</v>
      </c>
    </row>
    <row r="137" spans="1:5" ht="15">
      <c r="A137" s="223" t="s">
        <v>474</v>
      </c>
      <c r="B137" s="223">
        <v>24</v>
      </c>
      <c r="C137" s="223">
        <v>27</v>
      </c>
      <c r="D137" s="223">
        <v>2</v>
      </c>
      <c r="E137" s="223">
        <v>783032</v>
      </c>
    </row>
    <row r="138" spans="1:5" ht="15">
      <c r="A138" s="223" t="s">
        <v>474</v>
      </c>
      <c r="B138" s="223">
        <v>24</v>
      </c>
      <c r="C138" s="223">
        <v>27</v>
      </c>
      <c r="D138" s="223">
        <v>4</v>
      </c>
      <c r="E138" s="223">
        <v>277219</v>
      </c>
    </row>
    <row r="139" spans="1:5" ht="15">
      <c r="A139" s="223" t="s">
        <v>474</v>
      </c>
      <c r="B139" s="223">
        <v>24</v>
      </c>
      <c r="C139" s="223">
        <v>27</v>
      </c>
      <c r="D139" s="223">
        <v>5</v>
      </c>
      <c r="E139" s="223">
        <v>10000</v>
      </c>
    </row>
    <row r="140" spans="1:5" ht="15">
      <c r="A140" s="223" t="s">
        <v>474</v>
      </c>
      <c r="B140" s="223">
        <v>24</v>
      </c>
      <c r="C140" s="223">
        <v>29</v>
      </c>
      <c r="D140" s="223">
        <v>7</v>
      </c>
      <c r="E140" s="223">
        <v>327924</v>
      </c>
    </row>
    <row r="141" spans="1:5" ht="15">
      <c r="A141" s="223" t="s">
        <v>474</v>
      </c>
      <c r="B141" s="223">
        <v>24</v>
      </c>
      <c r="C141" s="223">
        <v>31</v>
      </c>
      <c r="D141" s="223">
        <v>2</v>
      </c>
      <c r="E141" s="223">
        <v>97415</v>
      </c>
    </row>
    <row r="142" spans="1:5" ht="15">
      <c r="A142" s="223" t="s">
        <v>474</v>
      </c>
      <c r="B142" s="223">
        <v>24</v>
      </c>
      <c r="C142" s="223">
        <v>31</v>
      </c>
      <c r="D142" s="223">
        <v>4</v>
      </c>
      <c r="E142" s="223">
        <v>10748</v>
      </c>
    </row>
    <row r="143" spans="1:5" ht="15">
      <c r="A143" s="223" t="s">
        <v>474</v>
      </c>
      <c r="B143" s="223">
        <v>24</v>
      </c>
      <c r="C143" s="223">
        <v>31</v>
      </c>
      <c r="D143" s="223">
        <v>7</v>
      </c>
      <c r="E143" s="223">
        <v>53841</v>
      </c>
    </row>
    <row r="144" spans="1:5" ht="15">
      <c r="A144" s="223" t="s">
        <v>474</v>
      </c>
      <c r="B144" s="223">
        <v>24</v>
      </c>
      <c r="C144" s="223">
        <v>31</v>
      </c>
      <c r="D144" s="223">
        <v>8</v>
      </c>
      <c r="E144" s="223">
        <v>10000</v>
      </c>
    </row>
    <row r="145" spans="1:5" ht="15">
      <c r="A145" s="223" t="s">
        <v>474</v>
      </c>
      <c r="B145" s="223">
        <v>24</v>
      </c>
      <c r="C145" s="223">
        <v>33</v>
      </c>
      <c r="D145" s="223">
        <v>5</v>
      </c>
      <c r="E145" s="223">
        <v>8000</v>
      </c>
    </row>
    <row r="146" spans="1:5" ht="15">
      <c r="A146" s="223" t="s">
        <v>476</v>
      </c>
      <c r="B146" s="223">
        <v>21</v>
      </c>
      <c r="C146" s="223">
        <v>21</v>
      </c>
      <c r="D146" s="223">
        <v>2</v>
      </c>
      <c r="E146" s="223">
        <v>275726</v>
      </c>
    </row>
    <row r="147" spans="1:5" ht="15">
      <c r="A147" s="223" t="s">
        <v>476</v>
      </c>
      <c r="B147" s="223">
        <v>21</v>
      </c>
      <c r="C147" s="223">
        <v>21</v>
      </c>
      <c r="D147" s="223">
        <v>3</v>
      </c>
      <c r="E147" s="223">
        <v>35236</v>
      </c>
    </row>
    <row r="148" spans="1:5" ht="15">
      <c r="A148" s="223" t="s">
        <v>476</v>
      </c>
      <c r="B148" s="223">
        <v>21</v>
      </c>
      <c r="C148" s="223">
        <v>21</v>
      </c>
      <c r="D148" s="223">
        <v>4</v>
      </c>
      <c r="E148" s="223">
        <v>99567</v>
      </c>
    </row>
    <row r="149" spans="1:5" ht="15">
      <c r="A149" s="223" t="s">
        <v>476</v>
      </c>
      <c r="B149" s="223">
        <v>21</v>
      </c>
      <c r="C149" s="223">
        <v>21</v>
      </c>
      <c r="D149" s="223">
        <v>5</v>
      </c>
      <c r="E149" s="223">
        <v>3000</v>
      </c>
    </row>
    <row r="150" spans="1:5" ht="15">
      <c r="A150" s="223" t="s">
        <v>476</v>
      </c>
      <c r="B150" s="223">
        <v>21</v>
      </c>
      <c r="C150" s="223">
        <v>21</v>
      </c>
      <c r="D150" s="223">
        <v>7</v>
      </c>
      <c r="E150" s="223">
        <v>58198</v>
      </c>
    </row>
    <row r="151" spans="1:5" ht="15">
      <c r="A151" s="223" t="s">
        <v>476</v>
      </c>
      <c r="B151" s="223">
        <v>21</v>
      </c>
      <c r="C151" s="223">
        <v>21</v>
      </c>
      <c r="D151" s="223">
        <v>8</v>
      </c>
      <c r="E151" s="223">
        <v>400</v>
      </c>
    </row>
    <row r="152" spans="1:5" ht="15">
      <c r="A152" s="223" t="s">
        <v>476</v>
      </c>
      <c r="B152" s="223">
        <v>21</v>
      </c>
      <c r="C152" s="223">
        <v>25</v>
      </c>
      <c r="D152" s="223">
        <v>3</v>
      </c>
      <c r="E152" s="223">
        <v>100669</v>
      </c>
    </row>
    <row r="153" spans="1:5" ht="15">
      <c r="A153" s="223" t="s">
        <v>476</v>
      </c>
      <c r="B153" s="223">
        <v>21</v>
      </c>
      <c r="C153" s="223">
        <v>25</v>
      </c>
      <c r="D153" s="223">
        <v>4</v>
      </c>
      <c r="E153" s="223">
        <v>10065</v>
      </c>
    </row>
    <row r="154" spans="1:5" ht="15">
      <c r="A154" s="223" t="s">
        <v>476</v>
      </c>
      <c r="B154" s="223">
        <v>21</v>
      </c>
      <c r="C154" s="223">
        <v>26</v>
      </c>
      <c r="D154" s="223">
        <v>2</v>
      </c>
      <c r="E154" s="223">
        <v>1095563</v>
      </c>
    </row>
    <row r="155" spans="1:5" ht="15">
      <c r="A155" s="223" t="s">
        <v>476</v>
      </c>
      <c r="B155" s="223">
        <v>21</v>
      </c>
      <c r="C155" s="223">
        <v>26</v>
      </c>
      <c r="D155" s="223">
        <v>3</v>
      </c>
      <c r="E155" s="223">
        <v>13450</v>
      </c>
    </row>
    <row r="156" spans="1:5" ht="15">
      <c r="A156" s="223" t="s">
        <v>476</v>
      </c>
      <c r="B156" s="223">
        <v>21</v>
      </c>
      <c r="C156" s="223">
        <v>26</v>
      </c>
      <c r="D156" s="223">
        <v>4</v>
      </c>
      <c r="E156" s="223">
        <v>402542</v>
      </c>
    </row>
    <row r="157" spans="1:5" ht="15">
      <c r="A157" s="223" t="s">
        <v>476</v>
      </c>
      <c r="B157" s="223">
        <v>21</v>
      </c>
      <c r="C157" s="223">
        <v>26</v>
      </c>
      <c r="D157" s="223">
        <v>5</v>
      </c>
      <c r="E157" s="223">
        <v>5000</v>
      </c>
    </row>
    <row r="158" spans="1:5" ht="15">
      <c r="A158" s="223" t="s">
        <v>476</v>
      </c>
      <c r="B158" s="223">
        <v>21</v>
      </c>
      <c r="C158" s="223">
        <v>26</v>
      </c>
      <c r="D158" s="223">
        <v>7</v>
      </c>
      <c r="E158" s="223">
        <v>4500</v>
      </c>
    </row>
    <row r="159" spans="1:5" ht="15">
      <c r="A159" s="223" t="s">
        <v>476</v>
      </c>
      <c r="B159" s="223">
        <v>21</v>
      </c>
      <c r="C159" s="223">
        <v>27</v>
      </c>
      <c r="D159" s="223">
        <v>2</v>
      </c>
      <c r="E159" s="223">
        <v>2163046</v>
      </c>
    </row>
    <row r="160" spans="1:5" ht="15">
      <c r="A160" s="223" t="s">
        <v>476</v>
      </c>
      <c r="B160" s="223">
        <v>21</v>
      </c>
      <c r="C160" s="223">
        <v>27</v>
      </c>
      <c r="D160" s="223">
        <v>3</v>
      </c>
      <c r="E160" s="223">
        <v>2343330</v>
      </c>
    </row>
    <row r="161" spans="1:5" ht="15">
      <c r="A161" s="223" t="s">
        <v>476</v>
      </c>
      <c r="B161" s="223">
        <v>21</v>
      </c>
      <c r="C161" s="223">
        <v>27</v>
      </c>
      <c r="D161" s="223">
        <v>4</v>
      </c>
      <c r="E161" s="223">
        <v>2000024</v>
      </c>
    </row>
    <row r="162" spans="1:5" ht="15">
      <c r="A162" s="223" t="s">
        <v>476</v>
      </c>
      <c r="B162" s="223">
        <v>21</v>
      </c>
      <c r="C162" s="223">
        <v>27</v>
      </c>
      <c r="D162" s="223">
        <v>5</v>
      </c>
      <c r="E162" s="223">
        <v>5700</v>
      </c>
    </row>
    <row r="163" spans="1:5" ht="15">
      <c r="A163" s="223" t="s">
        <v>476</v>
      </c>
      <c r="B163" s="223">
        <v>21</v>
      </c>
      <c r="C163" s="223">
        <v>27</v>
      </c>
      <c r="D163" s="223">
        <v>7</v>
      </c>
      <c r="E163" s="223">
        <v>730650</v>
      </c>
    </row>
    <row r="164" spans="1:5" ht="15">
      <c r="A164" s="223" t="s">
        <v>476</v>
      </c>
      <c r="B164" s="223">
        <v>21</v>
      </c>
      <c r="C164" s="223">
        <v>27</v>
      </c>
      <c r="D164" s="223">
        <v>8</v>
      </c>
      <c r="E164" s="223">
        <v>12500</v>
      </c>
    </row>
    <row r="165" spans="1:5" ht="15">
      <c r="A165" s="223" t="s">
        <v>476</v>
      </c>
      <c r="B165" s="223">
        <v>21</v>
      </c>
      <c r="C165" s="223">
        <v>31</v>
      </c>
      <c r="D165" s="223">
        <v>2</v>
      </c>
      <c r="E165" s="223">
        <v>83495</v>
      </c>
    </row>
    <row r="166" spans="1:5" ht="15">
      <c r="A166" s="223" t="s">
        <v>476</v>
      </c>
      <c r="B166" s="223">
        <v>21</v>
      </c>
      <c r="C166" s="223">
        <v>31</v>
      </c>
      <c r="D166" s="223">
        <v>3</v>
      </c>
      <c r="E166" s="223">
        <v>15990</v>
      </c>
    </row>
    <row r="167" spans="1:5" ht="15">
      <c r="A167" s="223" t="s">
        <v>476</v>
      </c>
      <c r="B167" s="223">
        <v>21</v>
      </c>
      <c r="C167" s="223">
        <v>31</v>
      </c>
      <c r="D167" s="223">
        <v>4</v>
      </c>
      <c r="E167" s="223">
        <v>33129</v>
      </c>
    </row>
    <row r="168" spans="1:5" ht="15">
      <c r="A168" s="223" t="s">
        <v>476</v>
      </c>
      <c r="B168" s="223">
        <v>21</v>
      </c>
      <c r="C168" s="223">
        <v>31</v>
      </c>
      <c r="D168" s="223">
        <v>7</v>
      </c>
      <c r="E168" s="223">
        <v>1000</v>
      </c>
    </row>
    <row r="169" spans="1:5" ht="15">
      <c r="A169" s="223" t="s">
        <v>476</v>
      </c>
      <c r="B169" s="223">
        <v>21</v>
      </c>
      <c r="C169" s="223">
        <v>33</v>
      </c>
      <c r="D169" s="223">
        <v>5</v>
      </c>
      <c r="E169" s="223">
        <v>6000</v>
      </c>
    </row>
    <row r="170" spans="1:5" ht="15">
      <c r="A170" s="223" t="s">
        <v>476</v>
      </c>
      <c r="B170" s="223">
        <v>21</v>
      </c>
      <c r="C170" s="223">
        <v>34</v>
      </c>
      <c r="D170" s="223">
        <v>2</v>
      </c>
      <c r="E170" s="223">
        <v>57524</v>
      </c>
    </row>
    <row r="171" spans="1:5" ht="15">
      <c r="A171" s="223" t="s">
        <v>476</v>
      </c>
      <c r="B171" s="223">
        <v>21</v>
      </c>
      <c r="C171" s="223">
        <v>34</v>
      </c>
      <c r="D171" s="223">
        <v>4</v>
      </c>
      <c r="E171" s="223">
        <v>12915</v>
      </c>
    </row>
    <row r="172" spans="1:5" ht="15">
      <c r="A172" s="223" t="s">
        <v>476</v>
      </c>
      <c r="B172" s="223">
        <v>24</v>
      </c>
      <c r="C172" s="223">
        <v>26</v>
      </c>
      <c r="D172" s="223">
        <v>2</v>
      </c>
      <c r="E172" s="223">
        <v>283006</v>
      </c>
    </row>
    <row r="173" spans="1:5" ht="15">
      <c r="A173" s="223" t="s">
        <v>476</v>
      </c>
      <c r="B173" s="223">
        <v>24</v>
      </c>
      <c r="C173" s="223">
        <v>26</v>
      </c>
      <c r="D173" s="223">
        <v>4</v>
      </c>
      <c r="E173" s="223">
        <v>95312</v>
      </c>
    </row>
    <row r="174" spans="1:5" ht="15">
      <c r="A174" s="223" t="s">
        <v>476</v>
      </c>
      <c r="B174" s="223">
        <v>24</v>
      </c>
      <c r="C174" s="223">
        <v>27</v>
      </c>
      <c r="D174" s="223">
        <v>2</v>
      </c>
      <c r="E174" s="223">
        <v>296220</v>
      </c>
    </row>
    <row r="175" spans="1:5" ht="15">
      <c r="A175" s="223" t="s">
        <v>476</v>
      </c>
      <c r="B175" s="223">
        <v>24</v>
      </c>
      <c r="C175" s="223">
        <v>27</v>
      </c>
      <c r="D175" s="223">
        <v>4</v>
      </c>
      <c r="E175" s="223">
        <v>97925</v>
      </c>
    </row>
    <row r="176" spans="1:5" ht="15">
      <c r="A176" s="223" t="s">
        <v>476</v>
      </c>
      <c r="B176" s="223">
        <v>24</v>
      </c>
      <c r="C176" s="223">
        <v>31</v>
      </c>
      <c r="D176" s="223">
        <v>2</v>
      </c>
      <c r="E176" s="223">
        <v>8732</v>
      </c>
    </row>
    <row r="177" spans="1:5" ht="15">
      <c r="A177" s="223" t="s">
        <v>476</v>
      </c>
      <c r="B177" s="223">
        <v>24</v>
      </c>
      <c r="C177" s="223">
        <v>31</v>
      </c>
      <c r="D177" s="223">
        <v>4</v>
      </c>
      <c r="E177" s="223">
        <v>1970</v>
      </c>
    </row>
    <row r="178" spans="1:5" ht="15">
      <c r="A178" s="223" t="s">
        <v>477</v>
      </c>
      <c r="B178" s="223">
        <v>21</v>
      </c>
      <c r="C178" s="223">
        <v>21</v>
      </c>
      <c r="D178" s="223">
        <v>2</v>
      </c>
      <c r="E178" s="223">
        <v>612889</v>
      </c>
    </row>
    <row r="179" spans="1:5" ht="15">
      <c r="A179" s="223" t="s">
        <v>477</v>
      </c>
      <c r="B179" s="223">
        <v>21</v>
      </c>
      <c r="C179" s="223">
        <v>21</v>
      </c>
      <c r="D179" s="223">
        <v>3</v>
      </c>
      <c r="E179" s="223">
        <v>191117</v>
      </c>
    </row>
    <row r="180" spans="1:5" ht="15">
      <c r="A180" s="223" t="s">
        <v>477</v>
      </c>
      <c r="B180" s="223">
        <v>21</v>
      </c>
      <c r="C180" s="223">
        <v>21</v>
      </c>
      <c r="D180" s="223">
        <v>4</v>
      </c>
      <c r="E180" s="223">
        <v>270561</v>
      </c>
    </row>
    <row r="181" spans="1:5" ht="15">
      <c r="A181" s="223" t="s">
        <v>477</v>
      </c>
      <c r="B181" s="223">
        <v>21</v>
      </c>
      <c r="C181" s="223">
        <v>21</v>
      </c>
      <c r="D181" s="223">
        <v>5</v>
      </c>
      <c r="E181" s="223">
        <v>17905</v>
      </c>
    </row>
    <row r="182" spans="1:5" ht="15">
      <c r="A182" s="223" t="s">
        <v>477</v>
      </c>
      <c r="B182" s="223">
        <v>21</v>
      </c>
      <c r="C182" s="223">
        <v>21</v>
      </c>
      <c r="D182" s="223">
        <v>7</v>
      </c>
      <c r="E182" s="223">
        <v>26526</v>
      </c>
    </row>
    <row r="183" spans="1:5" ht="15">
      <c r="A183" s="223" t="s">
        <v>477</v>
      </c>
      <c r="B183" s="223">
        <v>21</v>
      </c>
      <c r="C183" s="223">
        <v>25</v>
      </c>
      <c r="D183" s="223">
        <v>3</v>
      </c>
      <c r="E183" s="223">
        <v>138748</v>
      </c>
    </row>
    <row r="184" spans="1:5" ht="15">
      <c r="A184" s="223" t="s">
        <v>477</v>
      </c>
      <c r="B184" s="223">
        <v>21</v>
      </c>
      <c r="C184" s="223">
        <v>25</v>
      </c>
      <c r="D184" s="223">
        <v>4</v>
      </c>
      <c r="E184" s="223">
        <v>86759</v>
      </c>
    </row>
    <row r="185" spans="1:5" ht="15">
      <c r="A185" s="223" t="s">
        <v>477</v>
      </c>
      <c r="B185" s="223">
        <v>21</v>
      </c>
      <c r="C185" s="223">
        <v>26</v>
      </c>
      <c r="D185" s="223">
        <v>2</v>
      </c>
      <c r="E185" s="223">
        <v>4085551</v>
      </c>
    </row>
    <row r="186" spans="1:5" ht="15">
      <c r="A186" s="223" t="s">
        <v>477</v>
      </c>
      <c r="B186" s="223">
        <v>21</v>
      </c>
      <c r="C186" s="223">
        <v>26</v>
      </c>
      <c r="D186" s="223">
        <v>3</v>
      </c>
      <c r="E186" s="223">
        <v>156491</v>
      </c>
    </row>
    <row r="187" spans="1:5" ht="15">
      <c r="A187" s="223" t="s">
        <v>477</v>
      </c>
      <c r="B187" s="223">
        <v>21</v>
      </c>
      <c r="C187" s="223">
        <v>26</v>
      </c>
      <c r="D187" s="223">
        <v>4</v>
      </c>
      <c r="E187" s="223">
        <v>1552314</v>
      </c>
    </row>
    <row r="188" spans="1:5" ht="15">
      <c r="A188" s="223" t="s">
        <v>477</v>
      </c>
      <c r="B188" s="223">
        <v>21</v>
      </c>
      <c r="C188" s="223">
        <v>26</v>
      </c>
      <c r="D188" s="223">
        <v>5</v>
      </c>
      <c r="E188" s="223">
        <v>14046</v>
      </c>
    </row>
    <row r="189" spans="1:5" ht="15">
      <c r="A189" s="223" t="s">
        <v>477</v>
      </c>
      <c r="B189" s="223">
        <v>21</v>
      </c>
      <c r="C189" s="223">
        <v>26</v>
      </c>
      <c r="D189" s="223">
        <v>7</v>
      </c>
      <c r="E189" s="223">
        <v>59488</v>
      </c>
    </row>
    <row r="190" spans="1:5" ht="15">
      <c r="A190" s="223" t="s">
        <v>477</v>
      </c>
      <c r="B190" s="223">
        <v>21</v>
      </c>
      <c r="C190" s="223">
        <v>26</v>
      </c>
      <c r="D190" s="223">
        <v>8</v>
      </c>
      <c r="E190" s="223">
        <v>764</v>
      </c>
    </row>
    <row r="191" spans="1:5" ht="15">
      <c r="A191" s="223" t="s">
        <v>477</v>
      </c>
      <c r="B191" s="223">
        <v>21</v>
      </c>
      <c r="C191" s="223">
        <v>27</v>
      </c>
      <c r="D191" s="223">
        <v>0</v>
      </c>
      <c r="E191" s="223">
        <v>285</v>
      </c>
    </row>
    <row r="192" spans="1:5" ht="15">
      <c r="A192" s="223" t="s">
        <v>477</v>
      </c>
      <c r="B192" s="223">
        <v>21</v>
      </c>
      <c r="C192" s="223">
        <v>27</v>
      </c>
      <c r="D192" s="223">
        <v>2</v>
      </c>
      <c r="E192" s="223">
        <v>7599649</v>
      </c>
    </row>
    <row r="193" spans="1:5" ht="15">
      <c r="A193" s="223" t="s">
        <v>477</v>
      </c>
      <c r="B193" s="223">
        <v>21</v>
      </c>
      <c r="C193" s="223">
        <v>27</v>
      </c>
      <c r="D193" s="223">
        <v>3</v>
      </c>
      <c r="E193" s="223">
        <v>4522619</v>
      </c>
    </row>
    <row r="194" spans="1:5" ht="15">
      <c r="A194" s="223" t="s">
        <v>477</v>
      </c>
      <c r="B194" s="223">
        <v>21</v>
      </c>
      <c r="C194" s="223">
        <v>27</v>
      </c>
      <c r="D194" s="223">
        <v>4</v>
      </c>
      <c r="E194" s="223">
        <v>5634423</v>
      </c>
    </row>
    <row r="195" spans="1:5" ht="15">
      <c r="A195" s="223" t="s">
        <v>477</v>
      </c>
      <c r="B195" s="223">
        <v>21</v>
      </c>
      <c r="C195" s="223">
        <v>27</v>
      </c>
      <c r="D195" s="223">
        <v>5</v>
      </c>
      <c r="E195" s="223">
        <v>42117</v>
      </c>
    </row>
    <row r="196" spans="1:5" ht="15">
      <c r="A196" s="223" t="s">
        <v>477</v>
      </c>
      <c r="B196" s="223">
        <v>21</v>
      </c>
      <c r="C196" s="223">
        <v>27</v>
      </c>
      <c r="D196" s="223">
        <v>7</v>
      </c>
      <c r="E196" s="223">
        <v>1061889</v>
      </c>
    </row>
    <row r="197" spans="1:5" ht="15">
      <c r="A197" s="223" t="s">
        <v>477</v>
      </c>
      <c r="B197" s="223">
        <v>21</v>
      </c>
      <c r="C197" s="223">
        <v>27</v>
      </c>
      <c r="D197" s="223">
        <v>8</v>
      </c>
      <c r="E197" s="223">
        <v>9611</v>
      </c>
    </row>
    <row r="198" spans="1:5" ht="15">
      <c r="A198" s="223" t="s">
        <v>477</v>
      </c>
      <c r="B198" s="223">
        <v>21</v>
      </c>
      <c r="C198" s="223">
        <v>31</v>
      </c>
      <c r="D198" s="223">
        <v>5</v>
      </c>
      <c r="E198" s="223">
        <v>1098</v>
      </c>
    </row>
    <row r="199" spans="1:5" ht="15">
      <c r="A199" s="223" t="s">
        <v>477</v>
      </c>
      <c r="B199" s="223">
        <v>21</v>
      </c>
      <c r="C199" s="223">
        <v>31</v>
      </c>
      <c r="D199" s="223">
        <v>7</v>
      </c>
      <c r="E199" s="223">
        <v>6045</v>
      </c>
    </row>
    <row r="200" spans="1:5" ht="15">
      <c r="A200" s="223" t="s">
        <v>477</v>
      </c>
      <c r="B200" s="223">
        <v>21</v>
      </c>
      <c r="C200" s="223">
        <v>31</v>
      </c>
      <c r="D200" s="223">
        <v>8</v>
      </c>
      <c r="E200" s="223">
        <v>302</v>
      </c>
    </row>
    <row r="201" spans="1:5" ht="15">
      <c r="A201" s="223" t="s">
        <v>477</v>
      </c>
      <c r="B201" s="223">
        <v>21</v>
      </c>
      <c r="C201" s="223">
        <v>32</v>
      </c>
      <c r="D201" s="223">
        <v>5</v>
      </c>
      <c r="E201" s="223">
        <v>11049</v>
      </c>
    </row>
    <row r="202" spans="1:5" ht="15">
      <c r="A202" s="223" t="s">
        <v>477</v>
      </c>
      <c r="B202" s="223">
        <v>21</v>
      </c>
      <c r="C202" s="223">
        <v>33</v>
      </c>
      <c r="D202" s="223">
        <v>5</v>
      </c>
      <c r="E202" s="223">
        <v>18456</v>
      </c>
    </row>
    <row r="203" spans="1:5" ht="15">
      <c r="A203" s="223" t="s">
        <v>477</v>
      </c>
      <c r="B203" s="223">
        <v>21</v>
      </c>
      <c r="C203" s="223">
        <v>34</v>
      </c>
      <c r="D203" s="223">
        <v>2</v>
      </c>
      <c r="E203" s="223">
        <v>177526</v>
      </c>
    </row>
    <row r="204" spans="1:5" ht="15">
      <c r="A204" s="223" t="s">
        <v>477</v>
      </c>
      <c r="B204" s="223">
        <v>21</v>
      </c>
      <c r="C204" s="223">
        <v>34</v>
      </c>
      <c r="D204" s="223">
        <v>4</v>
      </c>
      <c r="E204" s="223">
        <v>39968</v>
      </c>
    </row>
    <row r="205" spans="1:5" ht="15">
      <c r="A205" s="223" t="s">
        <v>477</v>
      </c>
      <c r="B205" s="223">
        <v>23</v>
      </c>
      <c r="C205" s="223">
        <v>27</v>
      </c>
      <c r="D205" s="223">
        <v>3</v>
      </c>
      <c r="E205" s="223">
        <v>40229</v>
      </c>
    </row>
    <row r="206" spans="1:5" ht="15">
      <c r="A206" s="223" t="s">
        <v>477</v>
      </c>
      <c r="B206" s="223">
        <v>23</v>
      </c>
      <c r="C206" s="223">
        <v>27</v>
      </c>
      <c r="D206" s="223">
        <v>4</v>
      </c>
      <c r="E206" s="223">
        <v>20133</v>
      </c>
    </row>
    <row r="207" spans="1:5" ht="15">
      <c r="A207" s="223" t="s">
        <v>477</v>
      </c>
      <c r="B207" s="223">
        <v>23</v>
      </c>
      <c r="C207" s="223">
        <v>27</v>
      </c>
      <c r="D207" s="223">
        <v>5</v>
      </c>
      <c r="E207" s="223">
        <v>450000</v>
      </c>
    </row>
    <row r="208" spans="1:5" ht="15">
      <c r="A208" s="223" t="s">
        <v>477</v>
      </c>
      <c r="B208" s="223">
        <v>24</v>
      </c>
      <c r="C208" s="223">
        <v>26</v>
      </c>
      <c r="D208" s="223">
        <v>2</v>
      </c>
      <c r="E208" s="223">
        <v>1203</v>
      </c>
    </row>
    <row r="209" spans="1:5" ht="15">
      <c r="A209" s="223" t="s">
        <v>477</v>
      </c>
      <c r="B209" s="223">
        <v>24</v>
      </c>
      <c r="C209" s="223">
        <v>26</v>
      </c>
      <c r="D209" s="223">
        <v>4</v>
      </c>
      <c r="E209" s="223">
        <v>271</v>
      </c>
    </row>
    <row r="210" spans="1:5" ht="15">
      <c r="A210" s="223" t="s">
        <v>477</v>
      </c>
      <c r="B210" s="223">
        <v>24</v>
      </c>
      <c r="C210" s="223">
        <v>27</v>
      </c>
      <c r="D210" s="223">
        <v>2</v>
      </c>
      <c r="E210" s="223">
        <v>15146</v>
      </c>
    </row>
    <row r="211" spans="1:5" ht="15">
      <c r="A211" s="223" t="s">
        <v>477</v>
      </c>
      <c r="B211" s="223">
        <v>24</v>
      </c>
      <c r="C211" s="223">
        <v>27</v>
      </c>
      <c r="D211" s="223">
        <v>3</v>
      </c>
      <c r="E211" s="223">
        <v>1507058</v>
      </c>
    </row>
    <row r="212" spans="1:5" ht="15">
      <c r="A212" s="223" t="s">
        <v>477</v>
      </c>
      <c r="B212" s="223">
        <v>24</v>
      </c>
      <c r="C212" s="223">
        <v>27</v>
      </c>
      <c r="D212" s="223">
        <v>4</v>
      </c>
      <c r="E212" s="223">
        <v>947237</v>
      </c>
    </row>
    <row r="213" spans="1:5" ht="15">
      <c r="A213" s="223" t="s">
        <v>195</v>
      </c>
      <c r="B213" s="223">
        <v>21</v>
      </c>
      <c r="C213" s="223">
        <v>21</v>
      </c>
      <c r="D213" s="223">
        <v>0</v>
      </c>
      <c r="E213" s="223">
        <v>9300</v>
      </c>
    </row>
    <row r="214" spans="1:5" ht="15">
      <c r="A214" s="223" t="s">
        <v>195</v>
      </c>
      <c r="B214" s="223">
        <v>21</v>
      </c>
      <c r="C214" s="223">
        <v>21</v>
      </c>
      <c r="D214" s="223">
        <v>2</v>
      </c>
      <c r="E214" s="223">
        <v>2105917</v>
      </c>
    </row>
    <row r="215" spans="1:5" ht="15">
      <c r="A215" s="223" t="s">
        <v>195</v>
      </c>
      <c r="B215" s="223">
        <v>21</v>
      </c>
      <c r="C215" s="223">
        <v>21</v>
      </c>
      <c r="D215" s="223">
        <v>3</v>
      </c>
      <c r="E215" s="223">
        <v>457376</v>
      </c>
    </row>
    <row r="216" spans="1:5" ht="15">
      <c r="A216" s="223" t="s">
        <v>195</v>
      </c>
      <c r="B216" s="223">
        <v>21</v>
      </c>
      <c r="C216" s="223">
        <v>21</v>
      </c>
      <c r="D216" s="223">
        <v>4</v>
      </c>
      <c r="E216" s="223">
        <v>869396</v>
      </c>
    </row>
    <row r="217" spans="1:5" ht="15">
      <c r="A217" s="223" t="s">
        <v>195</v>
      </c>
      <c r="B217" s="223">
        <v>21</v>
      </c>
      <c r="C217" s="223">
        <v>21</v>
      </c>
      <c r="D217" s="223">
        <v>5</v>
      </c>
      <c r="E217" s="223">
        <v>20000</v>
      </c>
    </row>
    <row r="218" spans="1:5" ht="15">
      <c r="A218" s="223" t="s">
        <v>195</v>
      </c>
      <c r="B218" s="223">
        <v>21</v>
      </c>
      <c r="C218" s="223">
        <v>24</v>
      </c>
      <c r="D218" s="223">
        <v>0</v>
      </c>
      <c r="E218" s="223">
        <v>800</v>
      </c>
    </row>
    <row r="219" spans="1:5" ht="15">
      <c r="A219" s="223" t="s">
        <v>195</v>
      </c>
      <c r="B219" s="223">
        <v>21</v>
      </c>
      <c r="C219" s="223">
        <v>24</v>
      </c>
      <c r="D219" s="223">
        <v>2</v>
      </c>
      <c r="E219" s="223">
        <v>1025554</v>
      </c>
    </row>
    <row r="220" spans="1:5" ht="15">
      <c r="A220" s="223" t="s">
        <v>195</v>
      </c>
      <c r="B220" s="223">
        <v>21</v>
      </c>
      <c r="C220" s="223">
        <v>24</v>
      </c>
      <c r="D220" s="223">
        <v>4</v>
      </c>
      <c r="E220" s="223">
        <v>391968</v>
      </c>
    </row>
    <row r="221" spans="1:5" ht="15">
      <c r="A221" s="223" t="s">
        <v>195</v>
      </c>
      <c r="B221" s="223">
        <v>21</v>
      </c>
      <c r="C221" s="223">
        <v>24</v>
      </c>
      <c r="D221" s="223">
        <v>5</v>
      </c>
      <c r="E221" s="223">
        <v>800</v>
      </c>
    </row>
    <row r="222" spans="1:5" ht="15">
      <c r="A222" s="223" t="s">
        <v>195</v>
      </c>
      <c r="B222" s="223">
        <v>21</v>
      </c>
      <c r="C222" s="223">
        <v>24</v>
      </c>
      <c r="D222" s="223">
        <v>8</v>
      </c>
      <c r="E222" s="223">
        <v>13000</v>
      </c>
    </row>
    <row r="223" spans="1:5" ht="15">
      <c r="A223" s="223" t="s">
        <v>195</v>
      </c>
      <c r="B223" s="223">
        <v>21</v>
      </c>
      <c r="C223" s="223">
        <v>25</v>
      </c>
      <c r="D223" s="223">
        <v>3</v>
      </c>
      <c r="E223" s="223">
        <v>12674</v>
      </c>
    </row>
    <row r="224" spans="1:5" ht="15">
      <c r="A224" s="223" t="s">
        <v>195</v>
      </c>
      <c r="B224" s="223">
        <v>21</v>
      </c>
      <c r="C224" s="223">
        <v>25</v>
      </c>
      <c r="D224" s="223">
        <v>4</v>
      </c>
      <c r="E224" s="223">
        <v>6691</v>
      </c>
    </row>
    <row r="225" spans="1:5" ht="15">
      <c r="A225" s="223" t="s">
        <v>195</v>
      </c>
      <c r="B225" s="223">
        <v>21</v>
      </c>
      <c r="C225" s="223">
        <v>26</v>
      </c>
      <c r="D225" s="223">
        <v>0</v>
      </c>
      <c r="E225" s="223">
        <v>900</v>
      </c>
    </row>
    <row r="226" spans="1:5" ht="15">
      <c r="A226" s="223" t="s">
        <v>195</v>
      </c>
      <c r="B226" s="223">
        <v>21</v>
      </c>
      <c r="C226" s="223">
        <v>26</v>
      </c>
      <c r="D226" s="223">
        <v>2</v>
      </c>
      <c r="E226" s="223">
        <v>7306412</v>
      </c>
    </row>
    <row r="227" spans="1:5" ht="15">
      <c r="A227" s="223" t="s">
        <v>195</v>
      </c>
      <c r="B227" s="223">
        <v>21</v>
      </c>
      <c r="C227" s="223">
        <v>26</v>
      </c>
      <c r="D227" s="223">
        <v>3</v>
      </c>
      <c r="E227" s="223">
        <v>364832</v>
      </c>
    </row>
    <row r="228" spans="1:5" ht="15">
      <c r="A228" s="223" t="s">
        <v>195</v>
      </c>
      <c r="B228" s="223">
        <v>21</v>
      </c>
      <c r="C228" s="223">
        <v>26</v>
      </c>
      <c r="D228" s="223">
        <v>4</v>
      </c>
      <c r="E228" s="223">
        <v>2858295</v>
      </c>
    </row>
    <row r="229" spans="1:5" ht="15">
      <c r="A229" s="223" t="s">
        <v>195</v>
      </c>
      <c r="B229" s="223">
        <v>21</v>
      </c>
      <c r="C229" s="223">
        <v>26</v>
      </c>
      <c r="D229" s="223">
        <v>5</v>
      </c>
      <c r="E229" s="223">
        <v>33725</v>
      </c>
    </row>
    <row r="230" spans="1:5" ht="15">
      <c r="A230" s="223" t="s">
        <v>195</v>
      </c>
      <c r="B230" s="223">
        <v>21</v>
      </c>
      <c r="C230" s="223">
        <v>26</v>
      </c>
      <c r="D230" s="223">
        <v>7</v>
      </c>
      <c r="E230" s="223">
        <v>3150935</v>
      </c>
    </row>
    <row r="231" spans="1:5" ht="15">
      <c r="A231" s="223" t="s">
        <v>195</v>
      </c>
      <c r="B231" s="223">
        <v>21</v>
      </c>
      <c r="C231" s="223">
        <v>26</v>
      </c>
      <c r="D231" s="223">
        <v>8</v>
      </c>
      <c r="E231" s="223">
        <v>8000</v>
      </c>
    </row>
    <row r="232" spans="1:5" ht="15">
      <c r="A232" s="223" t="s">
        <v>195</v>
      </c>
      <c r="B232" s="223">
        <v>21</v>
      </c>
      <c r="C232" s="223">
        <v>27</v>
      </c>
      <c r="D232" s="223">
        <v>0</v>
      </c>
      <c r="E232" s="223">
        <v>8450</v>
      </c>
    </row>
    <row r="233" spans="1:5" ht="15">
      <c r="A233" s="223" t="s">
        <v>195</v>
      </c>
      <c r="B233" s="223">
        <v>21</v>
      </c>
      <c r="C233" s="223">
        <v>27</v>
      </c>
      <c r="D233" s="223">
        <v>2</v>
      </c>
      <c r="E233" s="223">
        <v>10691685</v>
      </c>
    </row>
    <row r="234" spans="1:5" ht="15">
      <c r="A234" s="223" t="s">
        <v>195</v>
      </c>
      <c r="B234" s="223">
        <v>21</v>
      </c>
      <c r="C234" s="223">
        <v>27</v>
      </c>
      <c r="D234" s="223">
        <v>3</v>
      </c>
      <c r="E234" s="223">
        <v>10433451</v>
      </c>
    </row>
    <row r="235" spans="1:5" ht="15">
      <c r="A235" s="223" t="s">
        <v>195</v>
      </c>
      <c r="B235" s="223">
        <v>21</v>
      </c>
      <c r="C235" s="223">
        <v>27</v>
      </c>
      <c r="D235" s="223">
        <v>4</v>
      </c>
      <c r="E235" s="223">
        <v>9968161</v>
      </c>
    </row>
    <row r="236" spans="1:5" ht="15">
      <c r="A236" s="223" t="s">
        <v>195</v>
      </c>
      <c r="B236" s="223">
        <v>21</v>
      </c>
      <c r="C236" s="223">
        <v>27</v>
      </c>
      <c r="D236" s="223">
        <v>5</v>
      </c>
      <c r="E236" s="223">
        <v>96775</v>
      </c>
    </row>
    <row r="237" spans="1:5" ht="15">
      <c r="A237" s="223" t="s">
        <v>195</v>
      </c>
      <c r="B237" s="223">
        <v>21</v>
      </c>
      <c r="C237" s="223">
        <v>27</v>
      </c>
      <c r="D237" s="223">
        <v>7</v>
      </c>
      <c r="E237" s="223">
        <v>1741350</v>
      </c>
    </row>
    <row r="238" spans="1:5" ht="15">
      <c r="A238" s="223" t="s">
        <v>195</v>
      </c>
      <c r="B238" s="223">
        <v>21</v>
      </c>
      <c r="C238" s="223">
        <v>27</v>
      </c>
      <c r="D238" s="223">
        <v>8</v>
      </c>
      <c r="E238" s="223">
        <v>76200</v>
      </c>
    </row>
    <row r="239" spans="1:5" ht="15">
      <c r="A239" s="223" t="s">
        <v>195</v>
      </c>
      <c r="B239" s="223">
        <v>21</v>
      </c>
      <c r="C239" s="223">
        <v>31</v>
      </c>
      <c r="D239" s="223">
        <v>2</v>
      </c>
      <c r="E239" s="223">
        <v>719585</v>
      </c>
    </row>
    <row r="240" spans="1:5" ht="15">
      <c r="A240" s="223" t="s">
        <v>195</v>
      </c>
      <c r="B240" s="223">
        <v>21</v>
      </c>
      <c r="C240" s="223">
        <v>31</v>
      </c>
      <c r="D240" s="223">
        <v>4</v>
      </c>
      <c r="E240" s="223">
        <v>244200</v>
      </c>
    </row>
    <row r="241" spans="1:5" ht="15">
      <c r="A241" s="223" t="s">
        <v>195</v>
      </c>
      <c r="B241" s="223">
        <v>21</v>
      </c>
      <c r="C241" s="223">
        <v>33</v>
      </c>
      <c r="D241" s="223">
        <v>0</v>
      </c>
      <c r="E241" s="223">
        <v>1300</v>
      </c>
    </row>
    <row r="242" spans="1:5" ht="15">
      <c r="A242" s="223" t="s">
        <v>195</v>
      </c>
      <c r="B242" s="223">
        <v>21</v>
      </c>
      <c r="C242" s="223">
        <v>33</v>
      </c>
      <c r="D242" s="223">
        <v>2</v>
      </c>
      <c r="E242" s="223">
        <v>25186</v>
      </c>
    </row>
    <row r="243" spans="1:5" ht="15">
      <c r="A243" s="223" t="s">
        <v>195</v>
      </c>
      <c r="B243" s="223">
        <v>21</v>
      </c>
      <c r="C243" s="223">
        <v>33</v>
      </c>
      <c r="D243" s="223">
        <v>4</v>
      </c>
      <c r="E243" s="223">
        <v>5919</v>
      </c>
    </row>
    <row r="244" spans="1:5" ht="15">
      <c r="A244" s="223" t="s">
        <v>195</v>
      </c>
      <c r="B244" s="223">
        <v>21</v>
      </c>
      <c r="C244" s="223">
        <v>33</v>
      </c>
      <c r="D244" s="223">
        <v>5</v>
      </c>
      <c r="E244" s="223">
        <v>47200</v>
      </c>
    </row>
    <row r="245" spans="1:5" ht="15">
      <c r="A245" s="223" t="s">
        <v>195</v>
      </c>
      <c r="B245" s="223">
        <v>21</v>
      </c>
      <c r="C245" s="223">
        <v>34</v>
      </c>
      <c r="D245" s="223">
        <v>2</v>
      </c>
      <c r="E245" s="223">
        <v>384505</v>
      </c>
    </row>
    <row r="246" spans="1:5" ht="15">
      <c r="A246" s="223" t="s">
        <v>195</v>
      </c>
      <c r="B246" s="223">
        <v>21</v>
      </c>
      <c r="C246" s="223">
        <v>34</v>
      </c>
      <c r="D246" s="223">
        <v>4</v>
      </c>
      <c r="E246" s="223">
        <v>92024</v>
      </c>
    </row>
    <row r="247" spans="1:5" ht="15">
      <c r="A247" s="223" t="s">
        <v>195</v>
      </c>
      <c r="B247" s="223">
        <v>23</v>
      </c>
      <c r="C247" s="223">
        <v>26</v>
      </c>
      <c r="D247" s="223">
        <v>2</v>
      </c>
      <c r="E247" s="223">
        <v>161610</v>
      </c>
    </row>
    <row r="248" spans="1:5" ht="15">
      <c r="A248" s="223" t="s">
        <v>195</v>
      </c>
      <c r="B248" s="223">
        <v>23</v>
      </c>
      <c r="C248" s="223">
        <v>26</v>
      </c>
      <c r="D248" s="223">
        <v>4</v>
      </c>
      <c r="E248" s="223">
        <v>57121</v>
      </c>
    </row>
    <row r="249" spans="1:5" ht="15">
      <c r="A249" s="223" t="s">
        <v>195</v>
      </c>
      <c r="B249" s="223">
        <v>23</v>
      </c>
      <c r="C249" s="223">
        <v>26</v>
      </c>
      <c r="D249" s="223">
        <v>7</v>
      </c>
      <c r="E249" s="223">
        <v>166964</v>
      </c>
    </row>
    <row r="250" spans="1:5" ht="15">
      <c r="A250" s="223" t="s">
        <v>195</v>
      </c>
      <c r="B250" s="223">
        <v>23</v>
      </c>
      <c r="C250" s="223">
        <v>27</v>
      </c>
      <c r="D250" s="223">
        <v>2</v>
      </c>
      <c r="E250" s="223">
        <v>110284</v>
      </c>
    </row>
    <row r="251" spans="1:5" ht="15">
      <c r="A251" s="223" t="s">
        <v>195</v>
      </c>
      <c r="B251" s="223">
        <v>23</v>
      </c>
      <c r="C251" s="223">
        <v>27</v>
      </c>
      <c r="D251" s="223">
        <v>4</v>
      </c>
      <c r="E251" s="223">
        <v>49996</v>
      </c>
    </row>
    <row r="252" spans="1:5" ht="15">
      <c r="A252" s="223" t="s">
        <v>195</v>
      </c>
      <c r="B252" s="223">
        <v>23</v>
      </c>
      <c r="C252" s="223">
        <v>27</v>
      </c>
      <c r="D252" s="223">
        <v>5</v>
      </c>
      <c r="E252" s="223">
        <v>34502</v>
      </c>
    </row>
    <row r="253" spans="1:5" ht="15">
      <c r="A253" s="223" t="s">
        <v>195</v>
      </c>
      <c r="B253" s="223">
        <v>23</v>
      </c>
      <c r="C253" s="223">
        <v>27</v>
      </c>
      <c r="D253" s="223">
        <v>7</v>
      </c>
      <c r="E253" s="223">
        <v>154028</v>
      </c>
    </row>
    <row r="254" spans="1:5" ht="15">
      <c r="A254" s="223" t="s">
        <v>195</v>
      </c>
      <c r="B254" s="223">
        <v>23</v>
      </c>
      <c r="C254" s="223">
        <v>31</v>
      </c>
      <c r="D254" s="223">
        <v>2</v>
      </c>
      <c r="E254" s="223">
        <v>4514</v>
      </c>
    </row>
    <row r="255" spans="1:5" ht="15">
      <c r="A255" s="223" t="s">
        <v>195</v>
      </c>
      <c r="B255" s="223">
        <v>23</v>
      </c>
      <c r="C255" s="223">
        <v>31</v>
      </c>
      <c r="D255" s="223">
        <v>4</v>
      </c>
      <c r="E255" s="223">
        <v>1079</v>
      </c>
    </row>
    <row r="256" spans="1:5" ht="15">
      <c r="A256" s="223" t="s">
        <v>195</v>
      </c>
      <c r="B256" s="223">
        <v>24</v>
      </c>
      <c r="C256" s="223">
        <v>24</v>
      </c>
      <c r="D256" s="223">
        <v>3</v>
      </c>
      <c r="E256" s="223">
        <v>91722</v>
      </c>
    </row>
    <row r="257" spans="1:5" ht="15">
      <c r="A257" s="223" t="s">
        <v>195</v>
      </c>
      <c r="B257" s="223">
        <v>24</v>
      </c>
      <c r="C257" s="223">
        <v>24</v>
      </c>
      <c r="D257" s="223">
        <v>4</v>
      </c>
      <c r="E257" s="223">
        <v>47897</v>
      </c>
    </row>
    <row r="258" spans="1:5" ht="15">
      <c r="A258" s="223" t="s">
        <v>195</v>
      </c>
      <c r="B258" s="223">
        <v>24</v>
      </c>
      <c r="C258" s="223">
        <v>26</v>
      </c>
      <c r="D258" s="223">
        <v>2</v>
      </c>
      <c r="E258" s="223">
        <v>274142</v>
      </c>
    </row>
    <row r="259" spans="1:5" ht="15">
      <c r="A259" s="223" t="s">
        <v>195</v>
      </c>
      <c r="B259" s="223">
        <v>24</v>
      </c>
      <c r="C259" s="223">
        <v>26</v>
      </c>
      <c r="D259" s="223">
        <v>3</v>
      </c>
      <c r="E259" s="223">
        <v>194526</v>
      </c>
    </row>
    <row r="260" spans="1:5" ht="15">
      <c r="A260" s="223" t="s">
        <v>195</v>
      </c>
      <c r="B260" s="223">
        <v>24</v>
      </c>
      <c r="C260" s="223">
        <v>26</v>
      </c>
      <c r="D260" s="223">
        <v>4</v>
      </c>
      <c r="E260" s="223">
        <v>200652</v>
      </c>
    </row>
    <row r="261" spans="1:5" ht="15">
      <c r="A261" s="223" t="s">
        <v>195</v>
      </c>
      <c r="B261" s="223">
        <v>24</v>
      </c>
      <c r="C261" s="223">
        <v>26</v>
      </c>
      <c r="D261" s="223">
        <v>7</v>
      </c>
      <c r="E261" s="223">
        <v>800000</v>
      </c>
    </row>
    <row r="262" spans="1:5" ht="15">
      <c r="A262" s="223" t="s">
        <v>195</v>
      </c>
      <c r="B262" s="223">
        <v>24</v>
      </c>
      <c r="C262" s="223">
        <v>27</v>
      </c>
      <c r="D262" s="223">
        <v>2</v>
      </c>
      <c r="E262" s="223">
        <v>2157670</v>
      </c>
    </row>
    <row r="263" spans="1:5" ht="15">
      <c r="A263" s="223" t="s">
        <v>195</v>
      </c>
      <c r="B263" s="223">
        <v>24</v>
      </c>
      <c r="C263" s="223">
        <v>27</v>
      </c>
      <c r="D263" s="223">
        <v>4</v>
      </c>
      <c r="E263" s="223">
        <v>755685</v>
      </c>
    </row>
    <row r="264" spans="1:5" ht="15">
      <c r="A264" s="223" t="s">
        <v>195</v>
      </c>
      <c r="B264" s="223">
        <v>24</v>
      </c>
      <c r="C264" s="223">
        <v>27</v>
      </c>
      <c r="D264" s="223">
        <v>5</v>
      </c>
      <c r="E264" s="223">
        <v>20000</v>
      </c>
    </row>
    <row r="265" spans="1:5" ht="15">
      <c r="A265" s="223" t="s">
        <v>195</v>
      </c>
      <c r="B265" s="223">
        <v>24</v>
      </c>
      <c r="C265" s="223">
        <v>27</v>
      </c>
      <c r="D265" s="223">
        <v>7</v>
      </c>
      <c r="E265" s="223">
        <v>235663</v>
      </c>
    </row>
    <row r="266" spans="1:5" ht="15">
      <c r="A266" s="223" t="s">
        <v>195</v>
      </c>
      <c r="B266" s="223">
        <v>24</v>
      </c>
      <c r="C266" s="223">
        <v>31</v>
      </c>
      <c r="D266" s="223">
        <v>2</v>
      </c>
      <c r="E266" s="223">
        <v>47434</v>
      </c>
    </row>
    <row r="267" spans="1:5" ht="15">
      <c r="A267" s="223" t="s">
        <v>195</v>
      </c>
      <c r="B267" s="223">
        <v>24</v>
      </c>
      <c r="C267" s="223">
        <v>31</v>
      </c>
      <c r="D267" s="223">
        <v>4</v>
      </c>
      <c r="E267" s="223">
        <v>11312</v>
      </c>
    </row>
    <row r="268" spans="1:5" ht="15">
      <c r="A268" s="223" t="s">
        <v>197</v>
      </c>
      <c r="B268" s="223">
        <v>21</v>
      </c>
      <c r="C268" s="223">
        <v>21</v>
      </c>
      <c r="D268" s="223">
        <v>0</v>
      </c>
      <c r="E268" s="223">
        <v>1500</v>
      </c>
    </row>
    <row r="269" spans="1:5" ht="15">
      <c r="A269" s="223" t="s">
        <v>197</v>
      </c>
      <c r="B269" s="223">
        <v>21</v>
      </c>
      <c r="C269" s="223">
        <v>21</v>
      </c>
      <c r="D269" s="223">
        <v>2</v>
      </c>
      <c r="E269" s="223">
        <v>455638</v>
      </c>
    </row>
    <row r="270" spans="1:5" ht="15">
      <c r="A270" s="223" t="s">
        <v>197</v>
      </c>
      <c r="B270" s="223">
        <v>21</v>
      </c>
      <c r="C270" s="223">
        <v>21</v>
      </c>
      <c r="D270" s="223">
        <v>3</v>
      </c>
      <c r="E270" s="223">
        <v>348529</v>
      </c>
    </row>
    <row r="271" spans="1:5" ht="15">
      <c r="A271" s="223" t="s">
        <v>197</v>
      </c>
      <c r="B271" s="223">
        <v>21</v>
      </c>
      <c r="C271" s="223">
        <v>21</v>
      </c>
      <c r="D271" s="223">
        <v>4</v>
      </c>
      <c r="E271" s="223">
        <v>312861</v>
      </c>
    </row>
    <row r="272" spans="1:5" ht="15">
      <c r="A272" s="223" t="s">
        <v>197</v>
      </c>
      <c r="B272" s="223">
        <v>21</v>
      </c>
      <c r="C272" s="223">
        <v>21</v>
      </c>
      <c r="D272" s="223">
        <v>7</v>
      </c>
      <c r="E272" s="223">
        <v>424729</v>
      </c>
    </row>
    <row r="273" spans="1:5" ht="15">
      <c r="A273" s="223" t="s">
        <v>197</v>
      </c>
      <c r="B273" s="223">
        <v>21</v>
      </c>
      <c r="C273" s="223">
        <v>24</v>
      </c>
      <c r="D273" s="223">
        <v>3</v>
      </c>
      <c r="E273" s="223">
        <v>365270</v>
      </c>
    </row>
    <row r="274" spans="1:5" ht="15">
      <c r="A274" s="223" t="s">
        <v>197</v>
      </c>
      <c r="B274" s="223">
        <v>21</v>
      </c>
      <c r="C274" s="223">
        <v>24</v>
      </c>
      <c r="D274" s="223">
        <v>4</v>
      </c>
      <c r="E274" s="223">
        <v>296213</v>
      </c>
    </row>
    <row r="275" spans="1:5" ht="15">
      <c r="A275" s="223" t="s">
        <v>197</v>
      </c>
      <c r="B275" s="223">
        <v>21</v>
      </c>
      <c r="C275" s="223">
        <v>26</v>
      </c>
      <c r="D275" s="223">
        <v>2</v>
      </c>
      <c r="E275" s="223">
        <v>3411571</v>
      </c>
    </row>
    <row r="276" spans="1:5" ht="15">
      <c r="A276" s="223" t="s">
        <v>197</v>
      </c>
      <c r="B276" s="223">
        <v>21</v>
      </c>
      <c r="C276" s="223">
        <v>26</v>
      </c>
      <c r="D276" s="223">
        <v>3</v>
      </c>
      <c r="E276" s="223">
        <v>47467</v>
      </c>
    </row>
    <row r="277" spans="1:5" ht="15">
      <c r="A277" s="223" t="s">
        <v>197</v>
      </c>
      <c r="B277" s="223">
        <v>21</v>
      </c>
      <c r="C277" s="223">
        <v>26</v>
      </c>
      <c r="D277" s="223">
        <v>4</v>
      </c>
      <c r="E277" s="223">
        <v>1324514</v>
      </c>
    </row>
    <row r="278" spans="1:5" ht="15">
      <c r="A278" s="223" t="s">
        <v>197</v>
      </c>
      <c r="B278" s="223">
        <v>21</v>
      </c>
      <c r="C278" s="223">
        <v>26</v>
      </c>
      <c r="D278" s="223">
        <v>5</v>
      </c>
      <c r="E278" s="223">
        <v>6570</v>
      </c>
    </row>
    <row r="279" spans="1:5" ht="15">
      <c r="A279" s="223" t="s">
        <v>197</v>
      </c>
      <c r="B279" s="223">
        <v>21</v>
      </c>
      <c r="C279" s="223">
        <v>26</v>
      </c>
      <c r="D279" s="223">
        <v>8</v>
      </c>
      <c r="E279" s="223">
        <v>1350</v>
      </c>
    </row>
    <row r="280" spans="1:5" ht="15">
      <c r="A280" s="223" t="s">
        <v>197</v>
      </c>
      <c r="B280" s="223">
        <v>21</v>
      </c>
      <c r="C280" s="223">
        <v>27</v>
      </c>
      <c r="D280" s="223">
        <v>2</v>
      </c>
      <c r="E280" s="223">
        <v>8835604</v>
      </c>
    </row>
    <row r="281" spans="1:5" ht="15">
      <c r="A281" s="223" t="s">
        <v>197</v>
      </c>
      <c r="B281" s="223">
        <v>21</v>
      </c>
      <c r="C281" s="223">
        <v>27</v>
      </c>
      <c r="D281" s="223">
        <v>3</v>
      </c>
      <c r="E281" s="223">
        <v>6765345</v>
      </c>
    </row>
    <row r="282" spans="1:5" ht="15">
      <c r="A282" s="223" t="s">
        <v>197</v>
      </c>
      <c r="B282" s="223">
        <v>21</v>
      </c>
      <c r="C282" s="223">
        <v>27</v>
      </c>
      <c r="D282" s="223">
        <v>4</v>
      </c>
      <c r="E282" s="223">
        <v>6860681</v>
      </c>
    </row>
    <row r="283" spans="1:5" ht="15">
      <c r="A283" s="223" t="s">
        <v>197</v>
      </c>
      <c r="B283" s="223">
        <v>21</v>
      </c>
      <c r="C283" s="223">
        <v>27</v>
      </c>
      <c r="D283" s="223">
        <v>5</v>
      </c>
      <c r="E283" s="223">
        <v>139840</v>
      </c>
    </row>
    <row r="284" spans="1:5" ht="15">
      <c r="A284" s="223" t="s">
        <v>197</v>
      </c>
      <c r="B284" s="223">
        <v>21</v>
      </c>
      <c r="C284" s="223">
        <v>27</v>
      </c>
      <c r="D284" s="223">
        <v>7</v>
      </c>
      <c r="E284" s="223">
        <v>623200</v>
      </c>
    </row>
    <row r="285" spans="1:5" ht="15">
      <c r="A285" s="223" t="s">
        <v>197</v>
      </c>
      <c r="B285" s="223">
        <v>21</v>
      </c>
      <c r="C285" s="223">
        <v>27</v>
      </c>
      <c r="D285" s="223">
        <v>8</v>
      </c>
      <c r="E285" s="223">
        <v>1150</v>
      </c>
    </row>
    <row r="286" spans="1:5" ht="15">
      <c r="A286" s="223" t="s">
        <v>197</v>
      </c>
      <c r="B286" s="223">
        <v>21</v>
      </c>
      <c r="C286" s="223">
        <v>31</v>
      </c>
      <c r="D286" s="223">
        <v>2</v>
      </c>
      <c r="E286" s="223">
        <v>300031</v>
      </c>
    </row>
    <row r="287" spans="1:5" ht="15">
      <c r="A287" s="223" t="s">
        <v>197</v>
      </c>
      <c r="B287" s="223">
        <v>21</v>
      </c>
      <c r="C287" s="223">
        <v>31</v>
      </c>
      <c r="D287" s="223">
        <v>4</v>
      </c>
      <c r="E287" s="223">
        <v>77411</v>
      </c>
    </row>
    <row r="288" spans="1:5" ht="15">
      <c r="A288" s="223" t="s">
        <v>197</v>
      </c>
      <c r="B288" s="223">
        <v>21</v>
      </c>
      <c r="C288" s="223">
        <v>31</v>
      </c>
      <c r="D288" s="223">
        <v>7</v>
      </c>
      <c r="E288" s="223">
        <v>15000</v>
      </c>
    </row>
    <row r="289" spans="1:5" ht="15">
      <c r="A289" s="223" t="s">
        <v>197</v>
      </c>
      <c r="B289" s="223">
        <v>21</v>
      </c>
      <c r="C289" s="223">
        <v>31</v>
      </c>
      <c r="D289" s="223">
        <v>8</v>
      </c>
      <c r="E289" s="223">
        <v>5000</v>
      </c>
    </row>
    <row r="290" spans="1:5" ht="15">
      <c r="A290" s="223" t="s">
        <v>197</v>
      </c>
      <c r="B290" s="223">
        <v>24</v>
      </c>
      <c r="C290" s="223">
        <v>26</v>
      </c>
      <c r="D290" s="223">
        <v>2</v>
      </c>
      <c r="E290" s="223">
        <v>762679</v>
      </c>
    </row>
    <row r="291" spans="1:5" ht="15">
      <c r="A291" s="223" t="s">
        <v>197</v>
      </c>
      <c r="B291" s="223">
        <v>24</v>
      </c>
      <c r="C291" s="223">
        <v>26</v>
      </c>
      <c r="D291" s="223">
        <v>4</v>
      </c>
      <c r="E291" s="223">
        <v>272225</v>
      </c>
    </row>
    <row r="292" spans="1:5" ht="15">
      <c r="A292" s="223" t="s">
        <v>197</v>
      </c>
      <c r="B292" s="223">
        <v>24</v>
      </c>
      <c r="C292" s="223">
        <v>27</v>
      </c>
      <c r="D292" s="223">
        <v>2</v>
      </c>
      <c r="E292" s="223">
        <v>807543</v>
      </c>
    </row>
    <row r="293" spans="1:5" ht="15">
      <c r="A293" s="223" t="s">
        <v>197</v>
      </c>
      <c r="B293" s="223">
        <v>24</v>
      </c>
      <c r="C293" s="223">
        <v>27</v>
      </c>
      <c r="D293" s="223">
        <v>3</v>
      </c>
      <c r="E293" s="223">
        <v>46540</v>
      </c>
    </row>
    <row r="294" spans="1:5" ht="15">
      <c r="A294" s="223" t="s">
        <v>197</v>
      </c>
      <c r="B294" s="223">
        <v>24</v>
      </c>
      <c r="C294" s="223">
        <v>27</v>
      </c>
      <c r="D294" s="223">
        <v>4</v>
      </c>
      <c r="E294" s="223">
        <v>300913</v>
      </c>
    </row>
    <row r="295" spans="1:5" ht="15">
      <c r="A295" s="223" t="s">
        <v>197</v>
      </c>
      <c r="B295" s="223">
        <v>24</v>
      </c>
      <c r="C295" s="223">
        <v>27</v>
      </c>
      <c r="D295" s="223">
        <v>5</v>
      </c>
      <c r="E295" s="223">
        <v>56280</v>
      </c>
    </row>
    <row r="296" spans="1:5" ht="15">
      <c r="A296" s="223" t="s">
        <v>197</v>
      </c>
      <c r="B296" s="223">
        <v>24</v>
      </c>
      <c r="C296" s="223">
        <v>31</v>
      </c>
      <c r="D296" s="223">
        <v>2</v>
      </c>
      <c r="E296" s="223">
        <v>22853</v>
      </c>
    </row>
    <row r="297" spans="1:5" ht="15">
      <c r="A297" s="223" t="s">
        <v>197</v>
      </c>
      <c r="B297" s="223">
        <v>24</v>
      </c>
      <c r="C297" s="223">
        <v>31</v>
      </c>
      <c r="D297" s="223">
        <v>4</v>
      </c>
      <c r="E297" s="223">
        <v>5257</v>
      </c>
    </row>
    <row r="298" spans="1:5" ht="15">
      <c r="A298" s="223" t="s">
        <v>201</v>
      </c>
      <c r="B298" s="223">
        <v>21</v>
      </c>
      <c r="C298" s="223">
        <v>21</v>
      </c>
      <c r="D298" s="223">
        <v>0</v>
      </c>
      <c r="E298" s="223">
        <v>3300</v>
      </c>
    </row>
    <row r="299" spans="1:5" ht="15">
      <c r="A299" s="223" t="s">
        <v>201</v>
      </c>
      <c r="B299" s="223">
        <v>21</v>
      </c>
      <c r="C299" s="223">
        <v>21</v>
      </c>
      <c r="D299" s="223">
        <v>2</v>
      </c>
      <c r="E299" s="223">
        <v>1830004</v>
      </c>
    </row>
    <row r="300" spans="1:5" ht="15">
      <c r="A300" s="223" t="s">
        <v>201</v>
      </c>
      <c r="B300" s="223">
        <v>21</v>
      </c>
      <c r="C300" s="223">
        <v>21</v>
      </c>
      <c r="D300" s="223">
        <v>3</v>
      </c>
      <c r="E300" s="223">
        <v>150735</v>
      </c>
    </row>
    <row r="301" spans="1:5" ht="15">
      <c r="A301" s="223" t="s">
        <v>201</v>
      </c>
      <c r="B301" s="223">
        <v>21</v>
      </c>
      <c r="C301" s="223">
        <v>21</v>
      </c>
      <c r="D301" s="223">
        <v>4</v>
      </c>
      <c r="E301" s="223">
        <v>651934</v>
      </c>
    </row>
    <row r="302" spans="1:5" ht="15">
      <c r="A302" s="223" t="s">
        <v>201</v>
      </c>
      <c r="B302" s="223">
        <v>21</v>
      </c>
      <c r="C302" s="223">
        <v>24</v>
      </c>
      <c r="D302" s="223">
        <v>0</v>
      </c>
      <c r="E302" s="223">
        <v>100</v>
      </c>
    </row>
    <row r="303" spans="1:5" ht="15">
      <c r="A303" s="223" t="s">
        <v>201</v>
      </c>
      <c r="B303" s="223">
        <v>21</v>
      </c>
      <c r="C303" s="223">
        <v>24</v>
      </c>
      <c r="D303" s="223">
        <v>2</v>
      </c>
      <c r="E303" s="223">
        <v>185271</v>
      </c>
    </row>
    <row r="304" spans="1:5" ht="15">
      <c r="A304" s="223" t="s">
        <v>201</v>
      </c>
      <c r="B304" s="223">
        <v>21</v>
      </c>
      <c r="C304" s="223">
        <v>24</v>
      </c>
      <c r="D304" s="223">
        <v>3</v>
      </c>
      <c r="E304" s="223">
        <v>89578</v>
      </c>
    </row>
    <row r="305" spans="1:5" ht="15">
      <c r="A305" s="223" t="s">
        <v>201</v>
      </c>
      <c r="B305" s="223">
        <v>21</v>
      </c>
      <c r="C305" s="223">
        <v>24</v>
      </c>
      <c r="D305" s="223">
        <v>4</v>
      </c>
      <c r="E305" s="223">
        <v>98686</v>
      </c>
    </row>
    <row r="306" spans="1:5" ht="15">
      <c r="A306" s="223" t="s">
        <v>201</v>
      </c>
      <c r="B306" s="223">
        <v>21</v>
      </c>
      <c r="C306" s="223">
        <v>25</v>
      </c>
      <c r="D306" s="223">
        <v>3</v>
      </c>
      <c r="E306" s="223">
        <v>653476</v>
      </c>
    </row>
    <row r="307" spans="1:5" ht="15">
      <c r="A307" s="223" t="s">
        <v>201</v>
      </c>
      <c r="B307" s="223">
        <v>21</v>
      </c>
      <c r="C307" s="223">
        <v>25</v>
      </c>
      <c r="D307" s="223">
        <v>4</v>
      </c>
      <c r="E307" s="223">
        <v>271770</v>
      </c>
    </row>
    <row r="308" spans="1:5" ht="15">
      <c r="A308" s="223" t="s">
        <v>201</v>
      </c>
      <c r="B308" s="223">
        <v>21</v>
      </c>
      <c r="C308" s="223">
        <v>26</v>
      </c>
      <c r="D308" s="223">
        <v>0</v>
      </c>
      <c r="E308" s="223">
        <v>200</v>
      </c>
    </row>
    <row r="309" spans="1:5" ht="15">
      <c r="A309" s="223" t="s">
        <v>201</v>
      </c>
      <c r="B309" s="223">
        <v>21</v>
      </c>
      <c r="C309" s="223">
        <v>26</v>
      </c>
      <c r="D309" s="223">
        <v>2</v>
      </c>
      <c r="E309" s="223">
        <v>2751715</v>
      </c>
    </row>
    <row r="310" spans="1:5" ht="15">
      <c r="A310" s="223" t="s">
        <v>201</v>
      </c>
      <c r="B310" s="223">
        <v>21</v>
      </c>
      <c r="C310" s="223">
        <v>26</v>
      </c>
      <c r="D310" s="223">
        <v>3</v>
      </c>
      <c r="E310" s="223">
        <v>620289</v>
      </c>
    </row>
    <row r="311" spans="1:5" ht="15">
      <c r="A311" s="223" t="s">
        <v>201</v>
      </c>
      <c r="B311" s="223">
        <v>21</v>
      </c>
      <c r="C311" s="223">
        <v>26</v>
      </c>
      <c r="D311" s="223">
        <v>4</v>
      </c>
      <c r="E311" s="223">
        <v>1195926</v>
      </c>
    </row>
    <row r="312" spans="1:5" ht="15">
      <c r="A312" s="223" t="s">
        <v>201</v>
      </c>
      <c r="B312" s="223">
        <v>21</v>
      </c>
      <c r="C312" s="223">
        <v>26</v>
      </c>
      <c r="D312" s="223">
        <v>7</v>
      </c>
      <c r="E312" s="223">
        <v>3797980</v>
      </c>
    </row>
    <row r="313" spans="1:5" ht="15">
      <c r="A313" s="223" t="s">
        <v>201</v>
      </c>
      <c r="B313" s="223">
        <v>21</v>
      </c>
      <c r="C313" s="223">
        <v>27</v>
      </c>
      <c r="D313" s="223">
        <v>0</v>
      </c>
      <c r="E313" s="223">
        <v>125550</v>
      </c>
    </row>
    <row r="314" spans="1:5" ht="15">
      <c r="A314" s="223" t="s">
        <v>201</v>
      </c>
      <c r="B314" s="223">
        <v>21</v>
      </c>
      <c r="C314" s="223">
        <v>27</v>
      </c>
      <c r="D314" s="223">
        <v>2</v>
      </c>
      <c r="E314" s="223">
        <v>10783246</v>
      </c>
    </row>
    <row r="315" spans="1:5" ht="15">
      <c r="A315" s="223" t="s">
        <v>201</v>
      </c>
      <c r="B315" s="223">
        <v>21</v>
      </c>
      <c r="C315" s="223">
        <v>27</v>
      </c>
      <c r="D315" s="223">
        <v>3</v>
      </c>
      <c r="E315" s="223">
        <v>6560733</v>
      </c>
    </row>
    <row r="316" spans="1:5" ht="15">
      <c r="A316" s="223" t="s">
        <v>201</v>
      </c>
      <c r="B316" s="223">
        <v>21</v>
      </c>
      <c r="C316" s="223">
        <v>27</v>
      </c>
      <c r="D316" s="223">
        <v>4</v>
      </c>
      <c r="E316" s="223">
        <v>8428270</v>
      </c>
    </row>
    <row r="317" spans="1:5" ht="15">
      <c r="A317" s="223" t="s">
        <v>201</v>
      </c>
      <c r="B317" s="223">
        <v>21</v>
      </c>
      <c r="C317" s="223">
        <v>27</v>
      </c>
      <c r="D317" s="223">
        <v>5</v>
      </c>
      <c r="E317" s="223">
        <v>84100</v>
      </c>
    </row>
    <row r="318" spans="1:5" ht="15">
      <c r="A318" s="223" t="s">
        <v>201</v>
      </c>
      <c r="B318" s="223">
        <v>21</v>
      </c>
      <c r="C318" s="223">
        <v>27</v>
      </c>
      <c r="D318" s="223">
        <v>7</v>
      </c>
      <c r="E318" s="223">
        <v>1504763</v>
      </c>
    </row>
    <row r="319" spans="1:5" ht="15">
      <c r="A319" s="223" t="s">
        <v>201</v>
      </c>
      <c r="B319" s="223">
        <v>21</v>
      </c>
      <c r="C319" s="223">
        <v>29</v>
      </c>
      <c r="D319" s="223">
        <v>7</v>
      </c>
      <c r="E319" s="223">
        <v>1250000</v>
      </c>
    </row>
    <row r="320" spans="1:5" ht="15">
      <c r="A320" s="223" t="s">
        <v>201</v>
      </c>
      <c r="B320" s="223">
        <v>21</v>
      </c>
      <c r="C320" s="223">
        <v>31</v>
      </c>
      <c r="D320" s="223">
        <v>2</v>
      </c>
      <c r="E320" s="223">
        <v>106014</v>
      </c>
    </row>
    <row r="321" spans="1:5" ht="15">
      <c r="A321" s="223" t="s">
        <v>201</v>
      </c>
      <c r="B321" s="223">
        <v>21</v>
      </c>
      <c r="C321" s="223">
        <v>31</v>
      </c>
      <c r="D321" s="223">
        <v>4</v>
      </c>
      <c r="E321" s="223">
        <v>36953</v>
      </c>
    </row>
    <row r="322" spans="1:5" ht="15">
      <c r="A322" s="223" t="s">
        <v>201</v>
      </c>
      <c r="B322" s="223">
        <v>24</v>
      </c>
      <c r="C322" s="223">
        <v>21</v>
      </c>
      <c r="D322" s="223">
        <v>3</v>
      </c>
      <c r="E322" s="223">
        <v>343017</v>
      </c>
    </row>
    <row r="323" spans="1:5" ht="15">
      <c r="A323" s="223" t="s">
        <v>201</v>
      </c>
      <c r="B323" s="223">
        <v>24</v>
      </c>
      <c r="C323" s="223">
        <v>21</v>
      </c>
      <c r="D323" s="223">
        <v>4</v>
      </c>
      <c r="E323" s="223">
        <v>149366</v>
      </c>
    </row>
    <row r="324" spans="1:5" ht="15">
      <c r="A324" s="223" t="s">
        <v>201</v>
      </c>
      <c r="B324" s="223">
        <v>24</v>
      </c>
      <c r="C324" s="223">
        <v>26</v>
      </c>
      <c r="D324" s="223">
        <v>3</v>
      </c>
      <c r="E324" s="223">
        <v>69250</v>
      </c>
    </row>
    <row r="325" spans="1:5" ht="15">
      <c r="A325" s="223" t="s">
        <v>201</v>
      </c>
      <c r="B325" s="223">
        <v>24</v>
      </c>
      <c r="C325" s="223">
        <v>26</v>
      </c>
      <c r="D325" s="223">
        <v>4</v>
      </c>
      <c r="E325" s="223">
        <v>39602</v>
      </c>
    </row>
    <row r="326" spans="1:5" ht="15">
      <c r="A326" s="223" t="s">
        <v>201</v>
      </c>
      <c r="B326" s="223">
        <v>24</v>
      </c>
      <c r="C326" s="223">
        <v>27</v>
      </c>
      <c r="D326" s="223">
        <v>2</v>
      </c>
      <c r="E326" s="223">
        <v>1088659</v>
      </c>
    </row>
    <row r="327" spans="1:5" ht="15">
      <c r="A327" s="223" t="s">
        <v>201</v>
      </c>
      <c r="B327" s="223">
        <v>24</v>
      </c>
      <c r="C327" s="223">
        <v>27</v>
      </c>
      <c r="D327" s="223">
        <v>3</v>
      </c>
      <c r="E327" s="223">
        <v>1116677</v>
      </c>
    </row>
    <row r="328" spans="1:5" ht="15">
      <c r="A328" s="223" t="s">
        <v>201</v>
      </c>
      <c r="B328" s="223">
        <v>24</v>
      </c>
      <c r="C328" s="223">
        <v>27</v>
      </c>
      <c r="D328" s="223">
        <v>4</v>
      </c>
      <c r="E328" s="223">
        <v>1066267</v>
      </c>
    </row>
    <row r="329" spans="1:5" ht="15">
      <c r="A329" s="223" t="s">
        <v>201</v>
      </c>
      <c r="B329" s="223">
        <v>24</v>
      </c>
      <c r="C329" s="223">
        <v>27</v>
      </c>
      <c r="D329" s="223">
        <v>5</v>
      </c>
      <c r="E329" s="223">
        <v>23732</v>
      </c>
    </row>
    <row r="330" spans="1:5" ht="15">
      <c r="A330" s="223" t="s">
        <v>201</v>
      </c>
      <c r="B330" s="223">
        <v>24</v>
      </c>
      <c r="C330" s="223">
        <v>27</v>
      </c>
      <c r="D330" s="223">
        <v>7</v>
      </c>
      <c r="E330" s="223">
        <v>10000</v>
      </c>
    </row>
    <row r="331" spans="1:5" ht="15">
      <c r="A331" s="223" t="s">
        <v>201</v>
      </c>
      <c r="B331" s="223">
        <v>29</v>
      </c>
      <c r="C331" s="223">
        <v>26</v>
      </c>
      <c r="D331" s="223">
        <v>5</v>
      </c>
      <c r="E331" s="223">
        <v>20000</v>
      </c>
    </row>
    <row r="332" spans="1:5" ht="15">
      <c r="A332" s="223" t="s">
        <v>201</v>
      </c>
      <c r="B332" s="223">
        <v>29</v>
      </c>
      <c r="C332" s="223">
        <v>27</v>
      </c>
      <c r="D332" s="223">
        <v>5</v>
      </c>
      <c r="E332" s="223">
        <v>25413</v>
      </c>
    </row>
    <row r="333" spans="1:5" ht="15">
      <c r="A333" s="223" t="s">
        <v>201</v>
      </c>
      <c r="B333" s="223">
        <v>29</v>
      </c>
      <c r="C333" s="223">
        <v>33</v>
      </c>
      <c r="D333" s="223">
        <v>5</v>
      </c>
      <c r="E333" s="223">
        <v>20000</v>
      </c>
    </row>
    <row r="334" spans="1:5" ht="15">
      <c r="A334" s="223" t="s">
        <v>203</v>
      </c>
      <c r="B334" s="223">
        <v>21</v>
      </c>
      <c r="C334" s="223">
        <v>27</v>
      </c>
      <c r="D334" s="223">
        <v>7</v>
      </c>
      <c r="E334" s="223">
        <v>200000</v>
      </c>
    </row>
    <row r="335" spans="1:5" ht="15">
      <c r="A335" s="223" t="s">
        <v>14</v>
      </c>
      <c r="B335" s="223">
        <v>21</v>
      </c>
      <c r="C335" s="223">
        <v>21</v>
      </c>
      <c r="D335" s="223">
        <v>2</v>
      </c>
      <c r="E335" s="223">
        <v>133592</v>
      </c>
    </row>
    <row r="336" spans="1:5" ht="15">
      <c r="A336" s="223" t="s">
        <v>14</v>
      </c>
      <c r="B336" s="223">
        <v>21</v>
      </c>
      <c r="C336" s="223">
        <v>21</v>
      </c>
      <c r="D336" s="223">
        <v>3</v>
      </c>
      <c r="E336" s="223">
        <v>68045</v>
      </c>
    </row>
    <row r="337" spans="1:5" ht="15">
      <c r="A337" s="223" t="s">
        <v>14</v>
      </c>
      <c r="B337" s="223">
        <v>21</v>
      </c>
      <c r="C337" s="223">
        <v>21</v>
      </c>
      <c r="D337" s="223">
        <v>4</v>
      </c>
      <c r="E337" s="223">
        <v>69639</v>
      </c>
    </row>
    <row r="338" spans="1:5" ht="15">
      <c r="A338" s="223" t="s">
        <v>14</v>
      </c>
      <c r="B338" s="223">
        <v>21</v>
      </c>
      <c r="C338" s="223">
        <v>21</v>
      </c>
      <c r="D338" s="223">
        <v>5</v>
      </c>
      <c r="E338" s="223">
        <v>3000</v>
      </c>
    </row>
    <row r="339" spans="1:5" ht="15">
      <c r="A339" s="223" t="s">
        <v>14</v>
      </c>
      <c r="B339" s="223">
        <v>21</v>
      </c>
      <c r="C339" s="223">
        <v>21</v>
      </c>
      <c r="D339" s="223">
        <v>7</v>
      </c>
      <c r="E339" s="223">
        <v>17000</v>
      </c>
    </row>
    <row r="340" spans="1:5" ht="15">
      <c r="A340" s="223" t="s">
        <v>14</v>
      </c>
      <c r="B340" s="223">
        <v>21</v>
      </c>
      <c r="C340" s="223">
        <v>21</v>
      </c>
      <c r="D340" s="223">
        <v>8</v>
      </c>
      <c r="E340" s="223">
        <v>2000</v>
      </c>
    </row>
    <row r="341" spans="1:5" ht="15">
      <c r="A341" s="223" t="s">
        <v>14</v>
      </c>
      <c r="B341" s="223">
        <v>21</v>
      </c>
      <c r="C341" s="223">
        <v>26</v>
      </c>
      <c r="D341" s="223">
        <v>2</v>
      </c>
      <c r="E341" s="223">
        <v>1030252</v>
      </c>
    </row>
    <row r="342" spans="1:5" ht="15">
      <c r="A342" s="223" t="s">
        <v>14</v>
      </c>
      <c r="B342" s="223">
        <v>21</v>
      </c>
      <c r="C342" s="223">
        <v>26</v>
      </c>
      <c r="D342" s="223">
        <v>3</v>
      </c>
      <c r="E342" s="223">
        <v>42660</v>
      </c>
    </row>
    <row r="343" spans="1:5" ht="15">
      <c r="A343" s="223" t="s">
        <v>14</v>
      </c>
      <c r="B343" s="223">
        <v>21</v>
      </c>
      <c r="C343" s="223">
        <v>26</v>
      </c>
      <c r="D343" s="223">
        <v>4</v>
      </c>
      <c r="E343" s="223">
        <v>408946</v>
      </c>
    </row>
    <row r="344" spans="1:5" ht="15">
      <c r="A344" s="223" t="s">
        <v>14</v>
      </c>
      <c r="B344" s="223">
        <v>21</v>
      </c>
      <c r="C344" s="223">
        <v>26</v>
      </c>
      <c r="D344" s="223">
        <v>5</v>
      </c>
      <c r="E344" s="223">
        <v>15895</v>
      </c>
    </row>
    <row r="345" spans="1:5" ht="15">
      <c r="A345" s="223" t="s">
        <v>14</v>
      </c>
      <c r="B345" s="223">
        <v>21</v>
      </c>
      <c r="C345" s="223">
        <v>26</v>
      </c>
      <c r="D345" s="223">
        <v>7</v>
      </c>
      <c r="E345" s="223">
        <v>25000</v>
      </c>
    </row>
    <row r="346" spans="1:5" ht="15">
      <c r="A346" s="223" t="s">
        <v>14</v>
      </c>
      <c r="B346" s="223">
        <v>21</v>
      </c>
      <c r="C346" s="223">
        <v>26</v>
      </c>
      <c r="D346" s="223">
        <v>8</v>
      </c>
      <c r="E346" s="223">
        <v>2883</v>
      </c>
    </row>
    <row r="347" spans="1:5" ht="15">
      <c r="A347" s="223" t="s">
        <v>14</v>
      </c>
      <c r="B347" s="223">
        <v>21</v>
      </c>
      <c r="C347" s="223">
        <v>27</v>
      </c>
      <c r="D347" s="223">
        <v>2</v>
      </c>
      <c r="E347" s="223">
        <v>1371838</v>
      </c>
    </row>
    <row r="348" spans="1:5" ht="15">
      <c r="A348" s="223" t="s">
        <v>14</v>
      </c>
      <c r="B348" s="223">
        <v>21</v>
      </c>
      <c r="C348" s="223">
        <v>27</v>
      </c>
      <c r="D348" s="223">
        <v>3</v>
      </c>
      <c r="E348" s="223">
        <v>1206799</v>
      </c>
    </row>
    <row r="349" spans="1:5" ht="15">
      <c r="A349" s="223" t="s">
        <v>14</v>
      </c>
      <c r="B349" s="223">
        <v>21</v>
      </c>
      <c r="C349" s="223">
        <v>27</v>
      </c>
      <c r="D349" s="223">
        <v>4</v>
      </c>
      <c r="E349" s="223">
        <v>1236898</v>
      </c>
    </row>
    <row r="350" spans="1:5" ht="15">
      <c r="A350" s="223" t="s">
        <v>14</v>
      </c>
      <c r="B350" s="223">
        <v>21</v>
      </c>
      <c r="C350" s="223">
        <v>27</v>
      </c>
      <c r="D350" s="223">
        <v>5</v>
      </c>
      <c r="E350" s="223">
        <v>14296</v>
      </c>
    </row>
    <row r="351" spans="1:5" ht="15">
      <c r="A351" s="223" t="s">
        <v>14</v>
      </c>
      <c r="B351" s="223">
        <v>21</v>
      </c>
      <c r="C351" s="223">
        <v>27</v>
      </c>
      <c r="D351" s="223">
        <v>7</v>
      </c>
      <c r="E351" s="223">
        <v>927300</v>
      </c>
    </row>
    <row r="352" spans="1:5" ht="15">
      <c r="A352" s="223" t="s">
        <v>14</v>
      </c>
      <c r="B352" s="223">
        <v>21</v>
      </c>
      <c r="C352" s="223">
        <v>27</v>
      </c>
      <c r="D352" s="223">
        <v>8</v>
      </c>
      <c r="E352" s="223">
        <v>311</v>
      </c>
    </row>
    <row r="353" spans="1:5" ht="15">
      <c r="A353" s="223" t="s">
        <v>14</v>
      </c>
      <c r="B353" s="223">
        <v>21</v>
      </c>
      <c r="C353" s="223">
        <v>31</v>
      </c>
      <c r="D353" s="223">
        <v>2</v>
      </c>
      <c r="E353" s="223">
        <v>5500</v>
      </c>
    </row>
    <row r="354" spans="1:5" ht="15">
      <c r="A354" s="223" t="s">
        <v>14</v>
      </c>
      <c r="B354" s="223">
        <v>21</v>
      </c>
      <c r="C354" s="223">
        <v>31</v>
      </c>
      <c r="D354" s="223">
        <v>4</v>
      </c>
      <c r="E354" s="223">
        <v>1275</v>
      </c>
    </row>
    <row r="355" spans="1:5" ht="15">
      <c r="A355" s="223" t="s">
        <v>14</v>
      </c>
      <c r="B355" s="223">
        <v>24</v>
      </c>
      <c r="C355" s="223">
        <v>26</v>
      </c>
      <c r="D355" s="223">
        <v>3</v>
      </c>
      <c r="E355" s="223">
        <v>211</v>
      </c>
    </row>
    <row r="356" spans="1:5" ht="15">
      <c r="A356" s="223" t="s">
        <v>14</v>
      </c>
      <c r="B356" s="223">
        <v>24</v>
      </c>
      <c r="C356" s="223">
        <v>26</v>
      </c>
      <c r="D356" s="223">
        <v>4</v>
      </c>
      <c r="E356" s="223">
        <v>22</v>
      </c>
    </row>
    <row r="357" spans="1:5" ht="15">
      <c r="A357" s="223" t="s">
        <v>14</v>
      </c>
      <c r="B357" s="223">
        <v>24</v>
      </c>
      <c r="C357" s="223">
        <v>27</v>
      </c>
      <c r="D357" s="223">
        <v>2</v>
      </c>
      <c r="E357" s="223">
        <v>306943</v>
      </c>
    </row>
    <row r="358" spans="1:5" ht="15">
      <c r="A358" s="223" t="s">
        <v>14</v>
      </c>
      <c r="B358" s="223">
        <v>24</v>
      </c>
      <c r="C358" s="223">
        <v>27</v>
      </c>
      <c r="D358" s="223">
        <v>3</v>
      </c>
      <c r="E358" s="223">
        <v>7853</v>
      </c>
    </row>
    <row r="359" spans="1:5" ht="15">
      <c r="A359" s="223" t="s">
        <v>14</v>
      </c>
      <c r="B359" s="223">
        <v>24</v>
      </c>
      <c r="C359" s="223">
        <v>27</v>
      </c>
      <c r="D359" s="223">
        <v>4</v>
      </c>
      <c r="E359" s="223">
        <v>119240</v>
      </c>
    </row>
    <row r="360" spans="1:5" ht="15">
      <c r="A360" s="223" t="s">
        <v>16</v>
      </c>
      <c r="B360" s="223">
        <v>21</v>
      </c>
      <c r="C360" s="223">
        <v>27</v>
      </c>
      <c r="D360" s="223">
        <v>2</v>
      </c>
      <c r="E360" s="223">
        <v>65082</v>
      </c>
    </row>
    <row r="361" spans="1:5" ht="15">
      <c r="A361" s="223" t="s">
        <v>16</v>
      </c>
      <c r="B361" s="223">
        <v>21</v>
      </c>
      <c r="C361" s="223">
        <v>27</v>
      </c>
      <c r="D361" s="223">
        <v>3</v>
      </c>
      <c r="E361" s="223">
        <v>43404</v>
      </c>
    </row>
    <row r="362" spans="1:5" ht="15">
      <c r="A362" s="223" t="s">
        <v>16</v>
      </c>
      <c r="B362" s="223">
        <v>21</v>
      </c>
      <c r="C362" s="223">
        <v>27</v>
      </c>
      <c r="D362" s="223">
        <v>4</v>
      </c>
      <c r="E362" s="223">
        <v>59731</v>
      </c>
    </row>
    <row r="363" spans="1:5" ht="15">
      <c r="A363" s="223" t="s">
        <v>16</v>
      </c>
      <c r="B363" s="223">
        <v>21</v>
      </c>
      <c r="C363" s="223">
        <v>27</v>
      </c>
      <c r="D363" s="223">
        <v>5</v>
      </c>
      <c r="E363" s="223">
        <v>547</v>
      </c>
    </row>
    <row r="364" spans="1:5" ht="15">
      <c r="A364" s="223" t="s">
        <v>16</v>
      </c>
      <c r="B364" s="223">
        <v>21</v>
      </c>
      <c r="C364" s="223">
        <v>27</v>
      </c>
      <c r="D364" s="223">
        <v>7</v>
      </c>
      <c r="E364" s="223">
        <v>25000</v>
      </c>
    </row>
    <row r="365" spans="1:5" ht="15">
      <c r="A365" s="223" t="s">
        <v>16</v>
      </c>
      <c r="B365" s="223">
        <v>21</v>
      </c>
      <c r="C365" s="223">
        <v>29</v>
      </c>
      <c r="D365" s="223">
        <v>7</v>
      </c>
      <c r="E365" s="223">
        <v>100000</v>
      </c>
    </row>
    <row r="366" spans="1:5" ht="15">
      <c r="A366" s="223" t="s">
        <v>16</v>
      </c>
      <c r="B366" s="223">
        <v>24</v>
      </c>
      <c r="C366" s="223">
        <v>26</v>
      </c>
      <c r="D366" s="223">
        <v>7</v>
      </c>
      <c r="E366" s="223">
        <v>29184</v>
      </c>
    </row>
    <row r="367" spans="1:5" ht="15">
      <c r="A367" s="223" t="s">
        <v>524</v>
      </c>
      <c r="B367" s="223">
        <v>21</v>
      </c>
      <c r="C367" s="223">
        <v>21</v>
      </c>
      <c r="D367" s="223">
        <v>2</v>
      </c>
      <c r="E367" s="223">
        <v>236273</v>
      </c>
    </row>
    <row r="368" spans="1:5" ht="15">
      <c r="A368" s="223" t="s">
        <v>524</v>
      </c>
      <c r="B368" s="223">
        <v>21</v>
      </c>
      <c r="C368" s="223">
        <v>21</v>
      </c>
      <c r="D368" s="223">
        <v>3</v>
      </c>
      <c r="E368" s="223">
        <v>98302</v>
      </c>
    </row>
    <row r="369" spans="1:5" ht="15">
      <c r="A369" s="223" t="s">
        <v>524</v>
      </c>
      <c r="B369" s="223">
        <v>21</v>
      </c>
      <c r="C369" s="223">
        <v>21</v>
      </c>
      <c r="D369" s="223">
        <v>4</v>
      </c>
      <c r="E369" s="223">
        <v>110635</v>
      </c>
    </row>
    <row r="370" spans="1:5" ht="15">
      <c r="A370" s="223" t="s">
        <v>524</v>
      </c>
      <c r="B370" s="223">
        <v>21</v>
      </c>
      <c r="C370" s="223">
        <v>25</v>
      </c>
      <c r="D370" s="223">
        <v>3</v>
      </c>
      <c r="E370" s="223">
        <v>130653</v>
      </c>
    </row>
    <row r="371" spans="1:5" ht="15">
      <c r="A371" s="223" t="s">
        <v>524</v>
      </c>
      <c r="B371" s="223">
        <v>21</v>
      </c>
      <c r="C371" s="223">
        <v>25</v>
      </c>
      <c r="D371" s="223">
        <v>4</v>
      </c>
      <c r="E371" s="223">
        <v>82698</v>
      </c>
    </row>
    <row r="372" spans="1:5" ht="15">
      <c r="A372" s="223" t="s">
        <v>524</v>
      </c>
      <c r="B372" s="223">
        <v>21</v>
      </c>
      <c r="C372" s="223">
        <v>26</v>
      </c>
      <c r="D372" s="223">
        <v>2</v>
      </c>
      <c r="E372" s="223">
        <v>1777459</v>
      </c>
    </row>
    <row r="373" spans="1:5" ht="15">
      <c r="A373" s="223" t="s">
        <v>524</v>
      </c>
      <c r="B373" s="223">
        <v>21</v>
      </c>
      <c r="C373" s="223">
        <v>26</v>
      </c>
      <c r="D373" s="223">
        <v>3</v>
      </c>
      <c r="E373" s="223">
        <v>119231</v>
      </c>
    </row>
    <row r="374" spans="1:5" ht="15">
      <c r="A374" s="223" t="s">
        <v>524</v>
      </c>
      <c r="B374" s="223">
        <v>21</v>
      </c>
      <c r="C374" s="223">
        <v>26</v>
      </c>
      <c r="D374" s="223">
        <v>4</v>
      </c>
      <c r="E374" s="223">
        <v>691317</v>
      </c>
    </row>
    <row r="375" spans="1:5" ht="15">
      <c r="A375" s="223" t="s">
        <v>524</v>
      </c>
      <c r="B375" s="223">
        <v>21</v>
      </c>
      <c r="C375" s="223">
        <v>26</v>
      </c>
      <c r="D375" s="223">
        <v>7</v>
      </c>
      <c r="E375" s="223">
        <v>1100000</v>
      </c>
    </row>
    <row r="376" spans="1:5" ht="15">
      <c r="A376" s="223" t="s">
        <v>524</v>
      </c>
      <c r="B376" s="223">
        <v>21</v>
      </c>
      <c r="C376" s="223">
        <v>27</v>
      </c>
      <c r="D376" s="223">
        <v>2</v>
      </c>
      <c r="E376" s="223">
        <v>3103618</v>
      </c>
    </row>
    <row r="377" spans="1:5" ht="15">
      <c r="A377" s="223" t="s">
        <v>524</v>
      </c>
      <c r="B377" s="223">
        <v>21</v>
      </c>
      <c r="C377" s="223">
        <v>27</v>
      </c>
      <c r="D377" s="223">
        <v>3</v>
      </c>
      <c r="E377" s="223">
        <v>1863783</v>
      </c>
    </row>
    <row r="378" spans="1:5" ht="15">
      <c r="A378" s="223" t="s">
        <v>524</v>
      </c>
      <c r="B378" s="223">
        <v>21</v>
      </c>
      <c r="C378" s="223">
        <v>27</v>
      </c>
      <c r="D378" s="223">
        <v>4</v>
      </c>
      <c r="E378" s="223">
        <v>2120702</v>
      </c>
    </row>
    <row r="379" spans="1:5" ht="15">
      <c r="A379" s="223" t="s">
        <v>524</v>
      </c>
      <c r="B379" s="223">
        <v>21</v>
      </c>
      <c r="C379" s="223">
        <v>27</v>
      </c>
      <c r="D379" s="223">
        <v>5</v>
      </c>
      <c r="E379" s="223">
        <v>125000</v>
      </c>
    </row>
    <row r="380" spans="1:5" ht="15">
      <c r="A380" s="223" t="s">
        <v>524</v>
      </c>
      <c r="B380" s="223">
        <v>21</v>
      </c>
      <c r="C380" s="223">
        <v>31</v>
      </c>
      <c r="D380" s="223">
        <v>2</v>
      </c>
      <c r="E380" s="223">
        <v>53239</v>
      </c>
    </row>
    <row r="381" spans="1:5" ht="15">
      <c r="A381" s="223" t="s">
        <v>524</v>
      </c>
      <c r="B381" s="223">
        <v>21</v>
      </c>
      <c r="C381" s="223">
        <v>31</v>
      </c>
      <c r="D381" s="223">
        <v>4</v>
      </c>
      <c r="E381" s="223">
        <v>12138</v>
      </c>
    </row>
    <row r="382" spans="1:5" ht="15">
      <c r="A382" s="223" t="s">
        <v>524</v>
      </c>
      <c r="B382" s="223">
        <v>21</v>
      </c>
      <c r="C382" s="223">
        <v>34</v>
      </c>
      <c r="D382" s="223">
        <v>2</v>
      </c>
      <c r="E382" s="223">
        <v>78082</v>
      </c>
    </row>
    <row r="383" spans="1:5" ht="15">
      <c r="A383" s="223" t="s">
        <v>524</v>
      </c>
      <c r="B383" s="223">
        <v>21</v>
      </c>
      <c r="C383" s="223">
        <v>34</v>
      </c>
      <c r="D383" s="223">
        <v>4</v>
      </c>
      <c r="E383" s="223">
        <v>18146</v>
      </c>
    </row>
    <row r="384" spans="1:5" ht="15">
      <c r="A384" s="223" t="s">
        <v>524</v>
      </c>
      <c r="B384" s="223">
        <v>23</v>
      </c>
      <c r="C384" s="223">
        <v>26</v>
      </c>
      <c r="D384" s="223">
        <v>2</v>
      </c>
      <c r="E384" s="223">
        <v>92391</v>
      </c>
    </row>
    <row r="385" spans="1:5" ht="15">
      <c r="A385" s="223" t="s">
        <v>524</v>
      </c>
      <c r="B385" s="223">
        <v>23</v>
      </c>
      <c r="C385" s="223">
        <v>26</v>
      </c>
      <c r="D385" s="223">
        <v>3</v>
      </c>
      <c r="E385" s="223">
        <v>40301</v>
      </c>
    </row>
    <row r="386" spans="1:5" ht="15">
      <c r="A386" s="223" t="s">
        <v>524</v>
      </c>
      <c r="B386" s="223">
        <v>23</v>
      </c>
      <c r="C386" s="223">
        <v>26</v>
      </c>
      <c r="D386" s="223">
        <v>4</v>
      </c>
      <c r="E386" s="223">
        <v>56976</v>
      </c>
    </row>
    <row r="387" spans="1:5" ht="15">
      <c r="A387" s="223" t="s">
        <v>524</v>
      </c>
      <c r="B387" s="223">
        <v>23</v>
      </c>
      <c r="C387" s="223">
        <v>27</v>
      </c>
      <c r="D387" s="223">
        <v>5</v>
      </c>
      <c r="E387" s="223">
        <v>43851</v>
      </c>
    </row>
    <row r="388" spans="1:5" ht="15">
      <c r="A388" s="223" t="s">
        <v>524</v>
      </c>
      <c r="B388" s="223">
        <v>23</v>
      </c>
      <c r="C388" s="223">
        <v>31</v>
      </c>
      <c r="D388" s="223">
        <v>2</v>
      </c>
      <c r="E388" s="223">
        <v>2584</v>
      </c>
    </row>
    <row r="389" spans="1:5" ht="15">
      <c r="A389" s="223" t="s">
        <v>524</v>
      </c>
      <c r="B389" s="223">
        <v>24</v>
      </c>
      <c r="C389" s="223">
        <v>26</v>
      </c>
      <c r="D389" s="223">
        <v>4</v>
      </c>
      <c r="E389" s="223">
        <v>56375</v>
      </c>
    </row>
    <row r="390" spans="1:5" ht="15">
      <c r="A390" s="223" t="s">
        <v>524</v>
      </c>
      <c r="B390" s="223">
        <v>24</v>
      </c>
      <c r="C390" s="223">
        <v>27</v>
      </c>
      <c r="D390" s="223">
        <v>2</v>
      </c>
      <c r="E390" s="223">
        <v>694554</v>
      </c>
    </row>
    <row r="391" spans="1:5" ht="15">
      <c r="A391" s="223" t="s">
        <v>524</v>
      </c>
      <c r="B391" s="223">
        <v>24</v>
      </c>
      <c r="C391" s="223">
        <v>27</v>
      </c>
      <c r="D391" s="223">
        <v>4</v>
      </c>
      <c r="E391" s="223">
        <v>192260</v>
      </c>
    </row>
    <row r="392" spans="1:5" ht="15">
      <c r="A392" s="223" t="s">
        <v>524</v>
      </c>
      <c r="B392" s="223">
        <v>24</v>
      </c>
      <c r="C392" s="223">
        <v>27</v>
      </c>
      <c r="D392" s="223">
        <v>5</v>
      </c>
      <c r="E392" s="223">
        <v>221768</v>
      </c>
    </row>
    <row r="393" spans="1:5" ht="15">
      <c r="A393" s="223" t="s">
        <v>524</v>
      </c>
      <c r="B393" s="223">
        <v>24</v>
      </c>
      <c r="C393" s="223">
        <v>31</v>
      </c>
      <c r="D393" s="223">
        <v>2</v>
      </c>
      <c r="E393" s="223">
        <v>18985</v>
      </c>
    </row>
    <row r="394" spans="1:5" ht="15">
      <c r="A394" s="223" t="s">
        <v>524</v>
      </c>
      <c r="B394" s="223">
        <v>24</v>
      </c>
      <c r="C394" s="223">
        <v>31</v>
      </c>
      <c r="D394" s="223">
        <v>4</v>
      </c>
      <c r="E394" s="223">
        <v>5125</v>
      </c>
    </row>
    <row r="395" spans="1:5" ht="15">
      <c r="A395" s="223" t="s">
        <v>524</v>
      </c>
      <c r="B395" s="223">
        <v>29</v>
      </c>
      <c r="C395" s="223">
        <v>21</v>
      </c>
      <c r="D395" s="223">
        <v>5</v>
      </c>
      <c r="E395" s="223">
        <v>20000</v>
      </c>
    </row>
    <row r="396" spans="1:5" ht="15">
      <c r="A396" s="223" t="s">
        <v>526</v>
      </c>
      <c r="B396" s="223">
        <v>21</v>
      </c>
      <c r="C396" s="223">
        <v>21</v>
      </c>
      <c r="D396" s="223">
        <v>2</v>
      </c>
      <c r="E396" s="223">
        <v>28750</v>
      </c>
    </row>
    <row r="397" spans="1:5" ht="15">
      <c r="A397" s="223" t="s">
        <v>526</v>
      </c>
      <c r="B397" s="223">
        <v>21</v>
      </c>
      <c r="C397" s="223">
        <v>21</v>
      </c>
      <c r="D397" s="223">
        <v>3</v>
      </c>
      <c r="E397" s="223">
        <v>17892</v>
      </c>
    </row>
    <row r="398" spans="1:5" ht="15">
      <c r="A398" s="223" t="s">
        <v>526</v>
      </c>
      <c r="B398" s="223">
        <v>21</v>
      </c>
      <c r="C398" s="223">
        <v>21</v>
      </c>
      <c r="D398" s="223">
        <v>4</v>
      </c>
      <c r="E398" s="223">
        <v>18339</v>
      </c>
    </row>
    <row r="399" spans="1:5" ht="15">
      <c r="A399" s="223" t="s">
        <v>526</v>
      </c>
      <c r="B399" s="223">
        <v>21</v>
      </c>
      <c r="C399" s="223">
        <v>21</v>
      </c>
      <c r="D399" s="223">
        <v>5</v>
      </c>
      <c r="E399" s="223">
        <v>750</v>
      </c>
    </row>
    <row r="400" spans="1:5" ht="15">
      <c r="A400" s="223" t="s">
        <v>526</v>
      </c>
      <c r="B400" s="223">
        <v>21</v>
      </c>
      <c r="C400" s="223">
        <v>21</v>
      </c>
      <c r="D400" s="223">
        <v>7</v>
      </c>
      <c r="E400" s="223">
        <v>300</v>
      </c>
    </row>
    <row r="401" spans="1:5" ht="15">
      <c r="A401" s="223" t="s">
        <v>526</v>
      </c>
      <c r="B401" s="223">
        <v>21</v>
      </c>
      <c r="C401" s="223">
        <v>26</v>
      </c>
      <c r="D401" s="223">
        <v>2</v>
      </c>
      <c r="E401" s="223">
        <v>195035</v>
      </c>
    </row>
    <row r="402" spans="1:5" ht="15">
      <c r="A402" s="223" t="s">
        <v>526</v>
      </c>
      <c r="B402" s="223">
        <v>21</v>
      </c>
      <c r="C402" s="223">
        <v>26</v>
      </c>
      <c r="D402" s="223">
        <v>3</v>
      </c>
      <c r="E402" s="223">
        <v>40898</v>
      </c>
    </row>
    <row r="403" spans="1:5" ht="15">
      <c r="A403" s="223" t="s">
        <v>526</v>
      </c>
      <c r="B403" s="223">
        <v>21</v>
      </c>
      <c r="C403" s="223">
        <v>26</v>
      </c>
      <c r="D403" s="223">
        <v>4</v>
      </c>
      <c r="E403" s="223">
        <v>90742</v>
      </c>
    </row>
    <row r="404" spans="1:5" ht="15">
      <c r="A404" s="223" t="s">
        <v>526</v>
      </c>
      <c r="B404" s="223">
        <v>21</v>
      </c>
      <c r="C404" s="223">
        <v>26</v>
      </c>
      <c r="D404" s="223">
        <v>5</v>
      </c>
      <c r="E404" s="223">
        <v>1250</v>
      </c>
    </row>
    <row r="405" spans="1:5" ht="15">
      <c r="A405" s="223" t="s">
        <v>526</v>
      </c>
      <c r="B405" s="223">
        <v>21</v>
      </c>
      <c r="C405" s="223">
        <v>26</v>
      </c>
      <c r="D405" s="223">
        <v>7</v>
      </c>
      <c r="E405" s="223">
        <v>60250</v>
      </c>
    </row>
    <row r="406" spans="1:5" ht="15">
      <c r="A406" s="223" t="s">
        <v>526</v>
      </c>
      <c r="B406" s="223">
        <v>21</v>
      </c>
      <c r="C406" s="223">
        <v>26</v>
      </c>
      <c r="D406" s="223">
        <v>8</v>
      </c>
      <c r="E406" s="223">
        <v>2500</v>
      </c>
    </row>
    <row r="407" spans="1:5" ht="15">
      <c r="A407" s="223" t="s">
        <v>526</v>
      </c>
      <c r="B407" s="223">
        <v>21</v>
      </c>
      <c r="C407" s="223">
        <v>27</v>
      </c>
      <c r="D407" s="223">
        <v>0</v>
      </c>
      <c r="E407" s="223">
        <v>7600</v>
      </c>
    </row>
    <row r="408" spans="1:5" ht="15">
      <c r="A408" s="223" t="s">
        <v>526</v>
      </c>
      <c r="B408" s="223">
        <v>21</v>
      </c>
      <c r="C408" s="223">
        <v>27</v>
      </c>
      <c r="D408" s="223">
        <v>2</v>
      </c>
      <c r="E408" s="223">
        <v>303261</v>
      </c>
    </row>
    <row r="409" spans="1:5" ht="15">
      <c r="A409" s="223" t="s">
        <v>526</v>
      </c>
      <c r="B409" s="223">
        <v>21</v>
      </c>
      <c r="C409" s="223">
        <v>27</v>
      </c>
      <c r="D409" s="223">
        <v>3</v>
      </c>
      <c r="E409" s="223">
        <v>218989</v>
      </c>
    </row>
    <row r="410" spans="1:5" ht="15">
      <c r="A410" s="223" t="s">
        <v>526</v>
      </c>
      <c r="B410" s="223">
        <v>21</v>
      </c>
      <c r="C410" s="223">
        <v>27</v>
      </c>
      <c r="D410" s="223">
        <v>4</v>
      </c>
      <c r="E410" s="223">
        <v>254130</v>
      </c>
    </row>
    <row r="411" spans="1:5" ht="15">
      <c r="A411" s="223" t="s">
        <v>526</v>
      </c>
      <c r="B411" s="223">
        <v>21</v>
      </c>
      <c r="C411" s="223">
        <v>27</v>
      </c>
      <c r="D411" s="223">
        <v>5</v>
      </c>
      <c r="E411" s="223">
        <v>11750</v>
      </c>
    </row>
    <row r="412" spans="1:5" ht="15">
      <c r="A412" s="223" t="s">
        <v>526</v>
      </c>
      <c r="B412" s="223">
        <v>21</v>
      </c>
      <c r="C412" s="223">
        <v>27</v>
      </c>
      <c r="D412" s="223">
        <v>7</v>
      </c>
      <c r="E412" s="223">
        <v>10650</v>
      </c>
    </row>
    <row r="413" spans="1:5" ht="15">
      <c r="A413" s="223" t="s">
        <v>526</v>
      </c>
      <c r="B413" s="223">
        <v>21</v>
      </c>
      <c r="C413" s="223">
        <v>31</v>
      </c>
      <c r="D413" s="223">
        <v>3</v>
      </c>
      <c r="E413" s="223">
        <v>492</v>
      </c>
    </row>
    <row r="414" spans="1:5" ht="15">
      <c r="A414" s="223" t="s">
        <v>526</v>
      </c>
      <c r="B414" s="223">
        <v>21</v>
      </c>
      <c r="C414" s="223">
        <v>31</v>
      </c>
      <c r="D414" s="223">
        <v>4</v>
      </c>
      <c r="E414" s="223">
        <v>37</v>
      </c>
    </row>
    <row r="415" spans="1:5" ht="15">
      <c r="A415" s="223" t="s">
        <v>526</v>
      </c>
      <c r="B415" s="223">
        <v>21</v>
      </c>
      <c r="C415" s="223">
        <v>31</v>
      </c>
      <c r="D415" s="223">
        <v>7</v>
      </c>
      <c r="E415" s="223">
        <v>3500</v>
      </c>
    </row>
    <row r="416" spans="1:5" ht="15">
      <c r="A416" s="223" t="s">
        <v>526</v>
      </c>
      <c r="B416" s="223">
        <v>21</v>
      </c>
      <c r="C416" s="223">
        <v>32</v>
      </c>
      <c r="D416" s="223">
        <v>5</v>
      </c>
      <c r="E416" s="223">
        <v>3000</v>
      </c>
    </row>
    <row r="417" spans="1:5" ht="15">
      <c r="A417" s="223" t="s">
        <v>526</v>
      </c>
      <c r="B417" s="223">
        <v>21</v>
      </c>
      <c r="C417" s="223">
        <v>32</v>
      </c>
      <c r="D417" s="223">
        <v>7</v>
      </c>
      <c r="E417" s="223">
        <v>5000</v>
      </c>
    </row>
    <row r="418" spans="1:5" ht="15">
      <c r="A418" s="223" t="s">
        <v>526</v>
      </c>
      <c r="B418" s="223">
        <v>21</v>
      </c>
      <c r="C418" s="223">
        <v>33</v>
      </c>
      <c r="D418" s="223">
        <v>5</v>
      </c>
      <c r="E418" s="223">
        <v>2000</v>
      </c>
    </row>
    <row r="419" spans="1:5" ht="15">
      <c r="A419" s="223" t="s">
        <v>526</v>
      </c>
      <c r="B419" s="223">
        <v>23</v>
      </c>
      <c r="C419" s="223">
        <v>27</v>
      </c>
      <c r="D419" s="223">
        <v>3</v>
      </c>
      <c r="E419" s="223">
        <v>35415</v>
      </c>
    </row>
    <row r="420" spans="1:5" ht="15">
      <c r="A420" s="223" t="s">
        <v>526</v>
      </c>
      <c r="B420" s="223">
        <v>23</v>
      </c>
      <c r="C420" s="223">
        <v>27</v>
      </c>
      <c r="D420" s="223">
        <v>4</v>
      </c>
      <c r="E420" s="223">
        <v>22553</v>
      </c>
    </row>
    <row r="421" spans="1:5" ht="15">
      <c r="A421" s="223" t="s">
        <v>526</v>
      </c>
      <c r="B421" s="223">
        <v>24</v>
      </c>
      <c r="C421" s="223">
        <v>27</v>
      </c>
      <c r="D421" s="223">
        <v>3</v>
      </c>
      <c r="E421" s="223">
        <v>145082</v>
      </c>
    </row>
    <row r="422" spans="1:5" ht="15">
      <c r="A422" s="223" t="s">
        <v>526</v>
      </c>
      <c r="B422" s="223">
        <v>24</v>
      </c>
      <c r="C422" s="223">
        <v>27</v>
      </c>
      <c r="D422" s="223">
        <v>4</v>
      </c>
      <c r="E422" s="223">
        <v>92711</v>
      </c>
    </row>
    <row r="423" spans="1:5" ht="15">
      <c r="A423" s="223" t="s">
        <v>526</v>
      </c>
      <c r="B423" s="223">
        <v>24</v>
      </c>
      <c r="C423" s="223">
        <v>27</v>
      </c>
      <c r="D423" s="223">
        <v>5</v>
      </c>
      <c r="E423" s="223">
        <v>859</v>
      </c>
    </row>
    <row r="424" spans="1:5" ht="15">
      <c r="A424" s="223" t="s">
        <v>528</v>
      </c>
      <c r="B424" s="223">
        <v>21</v>
      </c>
      <c r="C424" s="223">
        <v>21</v>
      </c>
      <c r="D424" s="223">
        <v>3</v>
      </c>
      <c r="E424" s="223">
        <v>65807</v>
      </c>
    </row>
    <row r="425" spans="1:5" ht="15">
      <c r="A425" s="223" t="s">
        <v>528</v>
      </c>
      <c r="B425" s="223">
        <v>21</v>
      </c>
      <c r="C425" s="223">
        <v>21</v>
      </c>
      <c r="D425" s="223">
        <v>4</v>
      </c>
      <c r="E425" s="223">
        <v>25708</v>
      </c>
    </row>
    <row r="426" spans="1:5" ht="15">
      <c r="A426" s="223" t="s">
        <v>528</v>
      </c>
      <c r="B426" s="223">
        <v>21</v>
      </c>
      <c r="C426" s="223">
        <v>21</v>
      </c>
      <c r="D426" s="223">
        <v>5</v>
      </c>
      <c r="E426" s="223">
        <v>500</v>
      </c>
    </row>
    <row r="427" spans="1:5" ht="15">
      <c r="A427" s="223" t="s">
        <v>528</v>
      </c>
      <c r="B427" s="223">
        <v>21</v>
      </c>
      <c r="C427" s="223">
        <v>27</v>
      </c>
      <c r="D427" s="223">
        <v>2</v>
      </c>
      <c r="E427" s="223">
        <v>179369</v>
      </c>
    </row>
    <row r="428" spans="1:5" ht="15">
      <c r="A428" s="223" t="s">
        <v>528</v>
      </c>
      <c r="B428" s="223">
        <v>21</v>
      </c>
      <c r="C428" s="223">
        <v>27</v>
      </c>
      <c r="D428" s="223">
        <v>3</v>
      </c>
      <c r="E428" s="223">
        <v>206690</v>
      </c>
    </row>
    <row r="429" spans="1:5" ht="15">
      <c r="A429" s="223" t="s">
        <v>528</v>
      </c>
      <c r="B429" s="223">
        <v>21</v>
      </c>
      <c r="C429" s="223">
        <v>27</v>
      </c>
      <c r="D429" s="223">
        <v>4</v>
      </c>
      <c r="E429" s="223">
        <v>163203</v>
      </c>
    </row>
    <row r="430" spans="1:5" ht="15">
      <c r="A430" s="223" t="s">
        <v>528</v>
      </c>
      <c r="B430" s="223">
        <v>21</v>
      </c>
      <c r="C430" s="223">
        <v>27</v>
      </c>
      <c r="D430" s="223">
        <v>5</v>
      </c>
      <c r="E430" s="223">
        <v>8088</v>
      </c>
    </row>
    <row r="431" spans="1:5" ht="15">
      <c r="A431" s="223" t="s">
        <v>528</v>
      </c>
      <c r="B431" s="223">
        <v>21</v>
      </c>
      <c r="C431" s="223">
        <v>27</v>
      </c>
      <c r="D431" s="223">
        <v>7</v>
      </c>
      <c r="E431" s="223">
        <v>349592</v>
      </c>
    </row>
    <row r="432" spans="1:5" ht="15">
      <c r="A432" s="223" t="s">
        <v>528</v>
      </c>
      <c r="B432" s="223">
        <v>21</v>
      </c>
      <c r="C432" s="223">
        <v>27</v>
      </c>
      <c r="D432" s="223">
        <v>8</v>
      </c>
      <c r="E432" s="223">
        <v>2000</v>
      </c>
    </row>
    <row r="433" spans="1:5" ht="15">
      <c r="A433" s="223" t="s">
        <v>528</v>
      </c>
      <c r="B433" s="223">
        <v>21</v>
      </c>
      <c r="C433" s="223">
        <v>31</v>
      </c>
      <c r="D433" s="223">
        <v>7</v>
      </c>
      <c r="E433" s="223">
        <v>4000</v>
      </c>
    </row>
    <row r="434" spans="1:5" ht="15">
      <c r="A434" s="223" t="s">
        <v>528</v>
      </c>
      <c r="B434" s="223">
        <v>21</v>
      </c>
      <c r="C434" s="223">
        <v>32</v>
      </c>
      <c r="D434" s="223">
        <v>7</v>
      </c>
      <c r="E434" s="223">
        <v>6000</v>
      </c>
    </row>
    <row r="435" spans="1:5" ht="15">
      <c r="A435" s="223" t="s">
        <v>528</v>
      </c>
      <c r="B435" s="223">
        <v>24</v>
      </c>
      <c r="C435" s="223">
        <v>21</v>
      </c>
      <c r="D435" s="223">
        <v>5</v>
      </c>
      <c r="E435" s="223">
        <v>31054</v>
      </c>
    </row>
    <row r="436" spans="1:5" ht="15">
      <c r="A436" s="223" t="s">
        <v>528</v>
      </c>
      <c r="B436" s="223">
        <v>24</v>
      </c>
      <c r="C436" s="223">
        <v>27</v>
      </c>
      <c r="D436" s="223">
        <v>3</v>
      </c>
      <c r="E436" s="223">
        <v>88289</v>
      </c>
    </row>
    <row r="437" spans="1:5" ht="15">
      <c r="A437" s="223" t="s">
        <v>528</v>
      </c>
      <c r="B437" s="223">
        <v>24</v>
      </c>
      <c r="C437" s="223">
        <v>27</v>
      </c>
      <c r="D437" s="223">
        <v>4</v>
      </c>
      <c r="E437" s="223">
        <v>56983</v>
      </c>
    </row>
    <row r="438" spans="1:5" ht="15">
      <c r="A438" s="223" t="s">
        <v>530</v>
      </c>
      <c r="B438" s="223">
        <v>21</v>
      </c>
      <c r="C438" s="223">
        <v>21</v>
      </c>
      <c r="D438" s="223">
        <v>2</v>
      </c>
      <c r="E438" s="223">
        <v>12149</v>
      </c>
    </row>
    <row r="439" spans="1:5" ht="15">
      <c r="A439" s="223" t="s">
        <v>530</v>
      </c>
      <c r="B439" s="223">
        <v>21</v>
      </c>
      <c r="C439" s="223">
        <v>21</v>
      </c>
      <c r="D439" s="223">
        <v>4</v>
      </c>
      <c r="E439" s="223">
        <v>3992</v>
      </c>
    </row>
    <row r="440" spans="1:5" ht="15">
      <c r="A440" s="223" t="s">
        <v>530</v>
      </c>
      <c r="B440" s="223">
        <v>21</v>
      </c>
      <c r="C440" s="223">
        <v>21</v>
      </c>
      <c r="D440" s="223">
        <v>8</v>
      </c>
      <c r="E440" s="223">
        <v>423</v>
      </c>
    </row>
    <row r="441" spans="1:5" ht="15">
      <c r="A441" s="223" t="s">
        <v>530</v>
      </c>
      <c r="B441" s="223">
        <v>21</v>
      </c>
      <c r="C441" s="223">
        <v>26</v>
      </c>
      <c r="D441" s="223">
        <v>3</v>
      </c>
      <c r="E441" s="223">
        <v>246</v>
      </c>
    </row>
    <row r="442" spans="1:5" ht="15">
      <c r="A442" s="223" t="s">
        <v>530</v>
      </c>
      <c r="B442" s="223">
        <v>21</v>
      </c>
      <c r="C442" s="223">
        <v>26</v>
      </c>
      <c r="D442" s="223">
        <v>4</v>
      </c>
      <c r="E442" s="223">
        <v>19</v>
      </c>
    </row>
    <row r="443" spans="1:5" ht="15">
      <c r="A443" s="223" t="s">
        <v>530</v>
      </c>
      <c r="B443" s="223">
        <v>21</v>
      </c>
      <c r="C443" s="223">
        <v>26</v>
      </c>
      <c r="D443" s="223">
        <v>7</v>
      </c>
      <c r="E443" s="223">
        <v>2800</v>
      </c>
    </row>
    <row r="444" spans="1:5" ht="15">
      <c r="A444" s="223" t="s">
        <v>530</v>
      </c>
      <c r="B444" s="223">
        <v>21</v>
      </c>
      <c r="C444" s="223">
        <v>27</v>
      </c>
      <c r="D444" s="223">
        <v>2</v>
      </c>
      <c r="E444" s="223">
        <v>32270</v>
      </c>
    </row>
    <row r="445" spans="1:5" ht="15">
      <c r="A445" s="223" t="s">
        <v>530</v>
      </c>
      <c r="B445" s="223">
        <v>21</v>
      </c>
      <c r="C445" s="223">
        <v>27</v>
      </c>
      <c r="D445" s="223">
        <v>3</v>
      </c>
      <c r="E445" s="223">
        <v>25335</v>
      </c>
    </row>
    <row r="446" spans="1:5" ht="15">
      <c r="A446" s="223" t="s">
        <v>530</v>
      </c>
      <c r="B446" s="223">
        <v>21</v>
      </c>
      <c r="C446" s="223">
        <v>27</v>
      </c>
      <c r="D446" s="223">
        <v>4</v>
      </c>
      <c r="E446" s="223">
        <v>27230</v>
      </c>
    </row>
    <row r="447" spans="1:5" ht="15">
      <c r="A447" s="223" t="s">
        <v>530</v>
      </c>
      <c r="B447" s="223">
        <v>21</v>
      </c>
      <c r="C447" s="223">
        <v>27</v>
      </c>
      <c r="D447" s="223">
        <v>5</v>
      </c>
      <c r="E447" s="223">
        <v>787</v>
      </c>
    </row>
    <row r="448" spans="1:5" ht="15">
      <c r="A448" s="223" t="s">
        <v>530</v>
      </c>
      <c r="B448" s="223">
        <v>21</v>
      </c>
      <c r="C448" s="223">
        <v>27</v>
      </c>
      <c r="D448" s="223">
        <v>7</v>
      </c>
      <c r="E448" s="223">
        <v>100</v>
      </c>
    </row>
    <row r="449" spans="1:5" ht="15">
      <c r="A449" s="223" t="s">
        <v>530</v>
      </c>
      <c r="B449" s="223">
        <v>21</v>
      </c>
      <c r="C449" s="223">
        <v>27</v>
      </c>
      <c r="D449" s="223">
        <v>8</v>
      </c>
      <c r="E449" s="223">
        <v>150</v>
      </c>
    </row>
    <row r="450" spans="1:5" ht="15">
      <c r="A450" s="223" t="s">
        <v>530</v>
      </c>
      <c r="B450" s="223">
        <v>21</v>
      </c>
      <c r="C450" s="223">
        <v>31</v>
      </c>
      <c r="D450" s="223">
        <v>7</v>
      </c>
      <c r="E450" s="223">
        <v>1040</v>
      </c>
    </row>
    <row r="451" spans="1:5" ht="15">
      <c r="A451" s="223" t="s">
        <v>530</v>
      </c>
      <c r="B451" s="223">
        <v>21</v>
      </c>
      <c r="C451" s="223">
        <v>31</v>
      </c>
      <c r="D451" s="223">
        <v>8</v>
      </c>
      <c r="E451" s="223">
        <v>1000</v>
      </c>
    </row>
    <row r="452" spans="1:5" ht="15">
      <c r="A452" s="223" t="s">
        <v>530</v>
      </c>
      <c r="B452" s="223">
        <v>21</v>
      </c>
      <c r="C452" s="223">
        <v>33</v>
      </c>
      <c r="D452" s="223">
        <v>5</v>
      </c>
      <c r="E452" s="223">
        <v>160</v>
      </c>
    </row>
    <row r="453" spans="1:5" ht="15">
      <c r="A453" s="223" t="s">
        <v>530</v>
      </c>
      <c r="B453" s="223">
        <v>21</v>
      </c>
      <c r="C453" s="223">
        <v>34</v>
      </c>
      <c r="D453" s="223">
        <v>2</v>
      </c>
      <c r="E453" s="223">
        <v>990</v>
      </c>
    </row>
    <row r="454" spans="1:5" ht="15">
      <c r="A454" s="223" t="s">
        <v>530</v>
      </c>
      <c r="B454" s="223">
        <v>21</v>
      </c>
      <c r="C454" s="223">
        <v>34</v>
      </c>
      <c r="D454" s="223">
        <v>4</v>
      </c>
      <c r="E454" s="223">
        <v>428</v>
      </c>
    </row>
    <row r="455" spans="1:5" ht="15">
      <c r="A455" s="223" t="s">
        <v>530</v>
      </c>
      <c r="B455" s="223">
        <v>24</v>
      </c>
      <c r="C455" s="223">
        <v>26</v>
      </c>
      <c r="D455" s="223">
        <v>3</v>
      </c>
      <c r="E455" s="223">
        <v>2333</v>
      </c>
    </row>
    <row r="456" spans="1:5" ht="15">
      <c r="A456" s="223" t="s">
        <v>530</v>
      </c>
      <c r="B456" s="223">
        <v>24</v>
      </c>
      <c r="C456" s="223">
        <v>26</v>
      </c>
      <c r="D456" s="223">
        <v>4</v>
      </c>
      <c r="E456" s="223">
        <v>180</v>
      </c>
    </row>
    <row r="457" spans="1:5" ht="15">
      <c r="A457" s="223" t="s">
        <v>530</v>
      </c>
      <c r="B457" s="223">
        <v>24</v>
      </c>
      <c r="C457" s="223">
        <v>26</v>
      </c>
      <c r="D457" s="223">
        <v>7</v>
      </c>
      <c r="E457" s="223">
        <v>11882</v>
      </c>
    </row>
    <row r="458" spans="1:5" ht="15">
      <c r="A458" s="223" t="s">
        <v>530</v>
      </c>
      <c r="B458" s="223">
        <v>24</v>
      </c>
      <c r="C458" s="223">
        <v>27</v>
      </c>
      <c r="D458" s="223">
        <v>3</v>
      </c>
      <c r="E458" s="223">
        <v>2861</v>
      </c>
    </row>
    <row r="459" spans="1:5" ht="15">
      <c r="A459" s="223" t="s">
        <v>530</v>
      </c>
      <c r="B459" s="223">
        <v>24</v>
      </c>
      <c r="C459" s="223">
        <v>27</v>
      </c>
      <c r="D459" s="223">
        <v>4</v>
      </c>
      <c r="E459" s="223">
        <v>1728</v>
      </c>
    </row>
    <row r="460" spans="1:5" ht="15">
      <c r="A460" s="223" t="s">
        <v>530</v>
      </c>
      <c r="B460" s="223">
        <v>24</v>
      </c>
      <c r="C460" s="223">
        <v>27</v>
      </c>
      <c r="D460" s="223">
        <v>5</v>
      </c>
      <c r="E460" s="223">
        <v>600</v>
      </c>
    </row>
    <row r="461" spans="1:5" ht="15">
      <c r="A461" s="223" t="s">
        <v>530</v>
      </c>
      <c r="B461" s="223">
        <v>24</v>
      </c>
      <c r="C461" s="223">
        <v>27</v>
      </c>
      <c r="D461" s="223">
        <v>7</v>
      </c>
      <c r="E461" s="223">
        <v>100</v>
      </c>
    </row>
    <row r="462" spans="1:5" ht="15">
      <c r="A462" s="223" t="s">
        <v>530</v>
      </c>
      <c r="B462" s="223">
        <v>24</v>
      </c>
      <c r="C462" s="223">
        <v>31</v>
      </c>
      <c r="D462" s="223">
        <v>3</v>
      </c>
      <c r="E462" s="223">
        <v>275</v>
      </c>
    </row>
    <row r="463" spans="1:5" ht="15">
      <c r="A463" s="223" t="s">
        <v>530</v>
      </c>
      <c r="B463" s="223">
        <v>24</v>
      </c>
      <c r="C463" s="223">
        <v>31</v>
      </c>
      <c r="D463" s="223">
        <v>4</v>
      </c>
      <c r="E463" s="223">
        <v>21</v>
      </c>
    </row>
    <row r="464" spans="1:5" ht="15">
      <c r="A464" s="223" t="s">
        <v>530</v>
      </c>
      <c r="B464" s="223">
        <v>24</v>
      </c>
      <c r="C464" s="223">
        <v>31</v>
      </c>
      <c r="D464" s="223">
        <v>7</v>
      </c>
      <c r="E464" s="223">
        <v>100</v>
      </c>
    </row>
    <row r="465" spans="1:5" ht="15">
      <c r="A465" s="223" t="s">
        <v>532</v>
      </c>
      <c r="B465" s="223">
        <v>21</v>
      </c>
      <c r="C465" s="223">
        <v>21</v>
      </c>
      <c r="D465" s="223">
        <v>2</v>
      </c>
      <c r="E465" s="223">
        <v>118993</v>
      </c>
    </row>
    <row r="466" spans="1:5" ht="15">
      <c r="A466" s="223" t="s">
        <v>532</v>
      </c>
      <c r="B466" s="223">
        <v>21</v>
      </c>
      <c r="C466" s="223">
        <v>21</v>
      </c>
      <c r="D466" s="223">
        <v>3</v>
      </c>
      <c r="E466" s="223">
        <v>134525</v>
      </c>
    </row>
    <row r="467" spans="1:5" ht="15">
      <c r="A467" s="223" t="s">
        <v>532</v>
      </c>
      <c r="B467" s="223">
        <v>21</v>
      </c>
      <c r="C467" s="223">
        <v>21</v>
      </c>
      <c r="D467" s="223">
        <v>4</v>
      </c>
      <c r="E467" s="223">
        <v>88772</v>
      </c>
    </row>
    <row r="468" spans="1:5" ht="15">
      <c r="A468" s="223" t="s">
        <v>532</v>
      </c>
      <c r="B468" s="223">
        <v>21</v>
      </c>
      <c r="C468" s="223">
        <v>26</v>
      </c>
      <c r="D468" s="223">
        <v>2</v>
      </c>
      <c r="E468" s="223">
        <v>998946</v>
      </c>
    </row>
    <row r="469" spans="1:5" ht="15">
      <c r="A469" s="223" t="s">
        <v>532</v>
      </c>
      <c r="B469" s="223">
        <v>21</v>
      </c>
      <c r="C469" s="223">
        <v>26</v>
      </c>
      <c r="D469" s="223">
        <v>3</v>
      </c>
      <c r="E469" s="223">
        <v>56172</v>
      </c>
    </row>
    <row r="470" spans="1:5" ht="15">
      <c r="A470" s="223" t="s">
        <v>532</v>
      </c>
      <c r="B470" s="223">
        <v>21</v>
      </c>
      <c r="C470" s="223">
        <v>26</v>
      </c>
      <c r="D470" s="223">
        <v>4</v>
      </c>
      <c r="E470" s="223">
        <v>370341</v>
      </c>
    </row>
    <row r="471" spans="1:5" ht="15">
      <c r="A471" s="223" t="s">
        <v>532</v>
      </c>
      <c r="B471" s="223">
        <v>21</v>
      </c>
      <c r="C471" s="223">
        <v>27</v>
      </c>
      <c r="D471" s="223">
        <v>2</v>
      </c>
      <c r="E471" s="223">
        <v>2567971</v>
      </c>
    </row>
    <row r="472" spans="1:5" ht="15">
      <c r="A472" s="223" t="s">
        <v>532</v>
      </c>
      <c r="B472" s="223">
        <v>21</v>
      </c>
      <c r="C472" s="223">
        <v>27</v>
      </c>
      <c r="D472" s="223">
        <v>3</v>
      </c>
      <c r="E472" s="223">
        <v>1714189</v>
      </c>
    </row>
    <row r="473" spans="1:5" ht="15">
      <c r="A473" s="223" t="s">
        <v>532</v>
      </c>
      <c r="B473" s="223">
        <v>21</v>
      </c>
      <c r="C473" s="223">
        <v>27</v>
      </c>
      <c r="D473" s="223">
        <v>4</v>
      </c>
      <c r="E473" s="223">
        <v>1950865</v>
      </c>
    </row>
    <row r="474" spans="1:5" ht="15">
      <c r="A474" s="223" t="s">
        <v>532</v>
      </c>
      <c r="B474" s="223">
        <v>21</v>
      </c>
      <c r="C474" s="223">
        <v>27</v>
      </c>
      <c r="D474" s="223">
        <v>7</v>
      </c>
      <c r="E474" s="223">
        <v>250000</v>
      </c>
    </row>
    <row r="475" spans="1:5" ht="15">
      <c r="A475" s="223" t="s">
        <v>532</v>
      </c>
      <c r="B475" s="223">
        <v>21</v>
      </c>
      <c r="C475" s="223">
        <v>31</v>
      </c>
      <c r="D475" s="223">
        <v>2</v>
      </c>
      <c r="E475" s="223">
        <v>28517</v>
      </c>
    </row>
    <row r="476" spans="1:5" ht="15">
      <c r="A476" s="223" t="s">
        <v>532</v>
      </c>
      <c r="B476" s="223">
        <v>21</v>
      </c>
      <c r="C476" s="223">
        <v>31</v>
      </c>
      <c r="D476" s="223">
        <v>4</v>
      </c>
      <c r="E476" s="223">
        <v>13131</v>
      </c>
    </row>
    <row r="477" spans="1:5" ht="15">
      <c r="A477" s="223" t="s">
        <v>532</v>
      </c>
      <c r="B477" s="223">
        <v>21</v>
      </c>
      <c r="C477" s="223">
        <v>34</v>
      </c>
      <c r="D477" s="223">
        <v>2</v>
      </c>
      <c r="E477" s="223">
        <v>53316</v>
      </c>
    </row>
    <row r="478" spans="1:5" ht="15">
      <c r="A478" s="223" t="s">
        <v>532</v>
      </c>
      <c r="B478" s="223">
        <v>21</v>
      </c>
      <c r="C478" s="223">
        <v>34</v>
      </c>
      <c r="D478" s="223">
        <v>4</v>
      </c>
      <c r="E478" s="223">
        <v>12220</v>
      </c>
    </row>
    <row r="479" spans="1:5" ht="15">
      <c r="A479" s="223" t="s">
        <v>532</v>
      </c>
      <c r="B479" s="223">
        <v>23</v>
      </c>
      <c r="C479" s="223">
        <v>27</v>
      </c>
      <c r="D479" s="223">
        <v>2</v>
      </c>
      <c r="E479" s="223">
        <v>57055</v>
      </c>
    </row>
    <row r="480" spans="1:5" ht="15">
      <c r="A480" s="223" t="s">
        <v>532</v>
      </c>
      <c r="B480" s="223">
        <v>23</v>
      </c>
      <c r="C480" s="223">
        <v>27</v>
      </c>
      <c r="D480" s="223">
        <v>3</v>
      </c>
      <c r="E480" s="223">
        <v>12583</v>
      </c>
    </row>
    <row r="481" spans="1:5" ht="15">
      <c r="A481" s="223" t="s">
        <v>532</v>
      </c>
      <c r="B481" s="223">
        <v>23</v>
      </c>
      <c r="C481" s="223">
        <v>27</v>
      </c>
      <c r="D481" s="223">
        <v>4</v>
      </c>
      <c r="E481" s="223">
        <v>35040</v>
      </c>
    </row>
    <row r="482" spans="1:5" ht="15">
      <c r="A482" s="223" t="s">
        <v>532</v>
      </c>
      <c r="B482" s="223">
        <v>23</v>
      </c>
      <c r="C482" s="223">
        <v>27</v>
      </c>
      <c r="D482" s="223">
        <v>5</v>
      </c>
      <c r="E482" s="223">
        <v>59000</v>
      </c>
    </row>
    <row r="483" spans="1:5" ht="15">
      <c r="A483" s="223" t="s">
        <v>532</v>
      </c>
      <c r="B483" s="223">
        <v>23</v>
      </c>
      <c r="C483" s="223">
        <v>31</v>
      </c>
      <c r="D483" s="223">
        <v>2</v>
      </c>
      <c r="E483" s="223">
        <v>935</v>
      </c>
    </row>
    <row r="484" spans="1:5" ht="15">
      <c r="A484" s="223" t="s">
        <v>532</v>
      </c>
      <c r="B484" s="223">
        <v>23</v>
      </c>
      <c r="C484" s="223">
        <v>31</v>
      </c>
      <c r="D484" s="223">
        <v>4</v>
      </c>
      <c r="E484" s="223">
        <v>217</v>
      </c>
    </row>
    <row r="485" spans="1:5" ht="15">
      <c r="A485" s="223" t="s">
        <v>532</v>
      </c>
      <c r="B485" s="223">
        <v>24</v>
      </c>
      <c r="C485" s="223">
        <v>26</v>
      </c>
      <c r="D485" s="223">
        <v>2</v>
      </c>
      <c r="E485" s="223">
        <v>478166</v>
      </c>
    </row>
    <row r="486" spans="1:5" ht="15">
      <c r="A486" s="223" t="s">
        <v>532</v>
      </c>
      <c r="B486" s="223">
        <v>24</v>
      </c>
      <c r="C486" s="223">
        <v>26</v>
      </c>
      <c r="D486" s="223">
        <v>4</v>
      </c>
      <c r="E486" s="223">
        <v>174738</v>
      </c>
    </row>
    <row r="487" spans="1:5" ht="15">
      <c r="A487" s="223" t="s">
        <v>532</v>
      </c>
      <c r="B487" s="223">
        <v>24</v>
      </c>
      <c r="C487" s="223">
        <v>27</v>
      </c>
      <c r="D487" s="223">
        <v>2</v>
      </c>
      <c r="E487" s="223">
        <v>77478</v>
      </c>
    </row>
    <row r="488" spans="1:5" ht="15">
      <c r="A488" s="223" t="s">
        <v>532</v>
      </c>
      <c r="B488" s="223">
        <v>24</v>
      </c>
      <c r="C488" s="223">
        <v>27</v>
      </c>
      <c r="D488" s="223">
        <v>3</v>
      </c>
      <c r="E488" s="223">
        <v>22012</v>
      </c>
    </row>
    <row r="489" spans="1:5" ht="15">
      <c r="A489" s="223" t="s">
        <v>532</v>
      </c>
      <c r="B489" s="223">
        <v>24</v>
      </c>
      <c r="C489" s="223">
        <v>27</v>
      </c>
      <c r="D489" s="223">
        <v>4</v>
      </c>
      <c r="E489" s="223">
        <v>44632</v>
      </c>
    </row>
    <row r="490" spans="1:5" ht="15">
      <c r="A490" s="223" t="s">
        <v>532</v>
      </c>
      <c r="B490" s="223">
        <v>24</v>
      </c>
      <c r="C490" s="223">
        <v>27</v>
      </c>
      <c r="D490" s="223">
        <v>7</v>
      </c>
      <c r="E490" s="223">
        <v>187978</v>
      </c>
    </row>
    <row r="491" spans="1:5" ht="15">
      <c r="A491" s="223" t="s">
        <v>532</v>
      </c>
      <c r="B491" s="223">
        <v>24</v>
      </c>
      <c r="C491" s="223">
        <v>31</v>
      </c>
      <c r="D491" s="223">
        <v>2</v>
      </c>
      <c r="E491" s="223">
        <v>9109</v>
      </c>
    </row>
    <row r="492" spans="1:5" ht="15">
      <c r="A492" s="223" t="s">
        <v>532</v>
      </c>
      <c r="B492" s="223">
        <v>24</v>
      </c>
      <c r="C492" s="223">
        <v>31</v>
      </c>
      <c r="D492" s="223">
        <v>4</v>
      </c>
      <c r="E492" s="223">
        <v>2087</v>
      </c>
    </row>
    <row r="493" spans="1:5" ht="15">
      <c r="A493" s="223" t="s">
        <v>534</v>
      </c>
      <c r="B493" s="223">
        <v>21</v>
      </c>
      <c r="C493" s="223">
        <v>21</v>
      </c>
      <c r="D493" s="223">
        <v>2</v>
      </c>
      <c r="E493" s="223">
        <v>334119</v>
      </c>
    </row>
    <row r="494" spans="1:5" ht="15">
      <c r="A494" s="223" t="s">
        <v>534</v>
      </c>
      <c r="B494" s="223">
        <v>21</v>
      </c>
      <c r="C494" s="223">
        <v>21</v>
      </c>
      <c r="D494" s="223">
        <v>3</v>
      </c>
      <c r="E494" s="223">
        <v>260996</v>
      </c>
    </row>
    <row r="495" spans="1:5" ht="15">
      <c r="A495" s="223" t="s">
        <v>534</v>
      </c>
      <c r="B495" s="223">
        <v>21</v>
      </c>
      <c r="C495" s="223">
        <v>21</v>
      </c>
      <c r="D495" s="223">
        <v>4</v>
      </c>
      <c r="E495" s="223">
        <v>187606</v>
      </c>
    </row>
    <row r="496" spans="1:5" ht="15">
      <c r="A496" s="223" t="s">
        <v>534</v>
      </c>
      <c r="B496" s="223">
        <v>21</v>
      </c>
      <c r="C496" s="223">
        <v>21</v>
      </c>
      <c r="D496" s="223">
        <v>5</v>
      </c>
      <c r="E496" s="223">
        <v>20000</v>
      </c>
    </row>
    <row r="497" spans="1:5" ht="15">
      <c r="A497" s="223" t="s">
        <v>534</v>
      </c>
      <c r="B497" s="223">
        <v>21</v>
      </c>
      <c r="C497" s="223">
        <v>25</v>
      </c>
      <c r="D497" s="223">
        <v>7</v>
      </c>
      <c r="E497" s="223">
        <v>2000</v>
      </c>
    </row>
    <row r="498" spans="1:5" ht="15">
      <c r="A498" s="223" t="s">
        <v>534</v>
      </c>
      <c r="B498" s="223">
        <v>21</v>
      </c>
      <c r="C498" s="223">
        <v>26</v>
      </c>
      <c r="D498" s="223">
        <v>2</v>
      </c>
      <c r="E498" s="223">
        <v>1968489</v>
      </c>
    </row>
    <row r="499" spans="1:5" ht="15">
      <c r="A499" s="223" t="s">
        <v>534</v>
      </c>
      <c r="B499" s="223">
        <v>21</v>
      </c>
      <c r="C499" s="223">
        <v>26</v>
      </c>
      <c r="D499" s="223">
        <v>3</v>
      </c>
      <c r="E499" s="223">
        <v>85526</v>
      </c>
    </row>
    <row r="500" spans="1:5" ht="15">
      <c r="A500" s="223" t="s">
        <v>534</v>
      </c>
      <c r="B500" s="223">
        <v>21</v>
      </c>
      <c r="C500" s="223">
        <v>26</v>
      </c>
      <c r="D500" s="223">
        <v>4</v>
      </c>
      <c r="E500" s="223">
        <v>758328</v>
      </c>
    </row>
    <row r="501" spans="1:5" ht="15">
      <c r="A501" s="223" t="s">
        <v>534</v>
      </c>
      <c r="B501" s="223">
        <v>21</v>
      </c>
      <c r="C501" s="223">
        <v>26</v>
      </c>
      <c r="D501" s="223">
        <v>5</v>
      </c>
      <c r="E501" s="223">
        <v>20500</v>
      </c>
    </row>
    <row r="502" spans="1:5" ht="15">
      <c r="A502" s="223" t="s">
        <v>534</v>
      </c>
      <c r="B502" s="223">
        <v>21</v>
      </c>
      <c r="C502" s="223">
        <v>26</v>
      </c>
      <c r="D502" s="223">
        <v>7</v>
      </c>
      <c r="E502" s="223">
        <v>70063</v>
      </c>
    </row>
    <row r="503" spans="1:5" ht="15">
      <c r="A503" s="223" t="s">
        <v>534</v>
      </c>
      <c r="B503" s="223">
        <v>21</v>
      </c>
      <c r="C503" s="223">
        <v>27</v>
      </c>
      <c r="D503" s="223">
        <v>2</v>
      </c>
      <c r="E503" s="223">
        <v>2940910</v>
      </c>
    </row>
    <row r="504" spans="1:5" ht="15">
      <c r="A504" s="223" t="s">
        <v>534</v>
      </c>
      <c r="B504" s="223">
        <v>21</v>
      </c>
      <c r="C504" s="223">
        <v>27</v>
      </c>
      <c r="D504" s="223">
        <v>3</v>
      </c>
      <c r="E504" s="223">
        <v>2785933</v>
      </c>
    </row>
    <row r="505" spans="1:5" ht="15">
      <c r="A505" s="223" t="s">
        <v>534</v>
      </c>
      <c r="B505" s="223">
        <v>21</v>
      </c>
      <c r="C505" s="223">
        <v>27</v>
      </c>
      <c r="D505" s="223">
        <v>4</v>
      </c>
      <c r="E505" s="223">
        <v>2734218</v>
      </c>
    </row>
    <row r="506" spans="1:5" ht="15">
      <c r="A506" s="223" t="s">
        <v>534</v>
      </c>
      <c r="B506" s="223">
        <v>21</v>
      </c>
      <c r="C506" s="223">
        <v>27</v>
      </c>
      <c r="D506" s="223">
        <v>5</v>
      </c>
      <c r="E506" s="223">
        <v>32500</v>
      </c>
    </row>
    <row r="507" spans="1:5" ht="15">
      <c r="A507" s="223" t="s">
        <v>534</v>
      </c>
      <c r="B507" s="223">
        <v>21</v>
      </c>
      <c r="C507" s="223">
        <v>27</v>
      </c>
      <c r="D507" s="223">
        <v>7</v>
      </c>
      <c r="E507" s="223">
        <v>112000</v>
      </c>
    </row>
    <row r="508" spans="1:5" ht="15">
      <c r="A508" s="223" t="s">
        <v>534</v>
      </c>
      <c r="B508" s="223">
        <v>21</v>
      </c>
      <c r="C508" s="223">
        <v>29</v>
      </c>
      <c r="D508" s="223">
        <v>7</v>
      </c>
      <c r="E508" s="223">
        <v>650000</v>
      </c>
    </row>
    <row r="509" spans="1:5" ht="15">
      <c r="A509" s="223" t="s">
        <v>534</v>
      </c>
      <c r="B509" s="223">
        <v>21</v>
      </c>
      <c r="C509" s="223">
        <v>31</v>
      </c>
      <c r="D509" s="223">
        <v>2</v>
      </c>
      <c r="E509" s="223">
        <v>57892</v>
      </c>
    </row>
    <row r="510" spans="1:5" ht="15">
      <c r="A510" s="223" t="s">
        <v>534</v>
      </c>
      <c r="B510" s="223">
        <v>21</v>
      </c>
      <c r="C510" s="223">
        <v>31</v>
      </c>
      <c r="D510" s="223">
        <v>4</v>
      </c>
      <c r="E510" s="223">
        <v>13846</v>
      </c>
    </row>
    <row r="511" spans="1:5" ht="15">
      <c r="A511" s="223" t="s">
        <v>534</v>
      </c>
      <c r="B511" s="223">
        <v>21</v>
      </c>
      <c r="C511" s="223">
        <v>34</v>
      </c>
      <c r="D511" s="223">
        <v>2</v>
      </c>
      <c r="E511" s="223">
        <v>692</v>
      </c>
    </row>
    <row r="512" spans="1:5" ht="15">
      <c r="A512" s="223" t="s">
        <v>534</v>
      </c>
      <c r="B512" s="223">
        <v>23</v>
      </c>
      <c r="C512" s="223">
        <v>27</v>
      </c>
      <c r="D512" s="223">
        <v>3</v>
      </c>
      <c r="E512" s="223">
        <v>20149</v>
      </c>
    </row>
    <row r="513" spans="1:5" ht="15">
      <c r="A513" s="223" t="s">
        <v>534</v>
      </c>
      <c r="B513" s="223">
        <v>23</v>
      </c>
      <c r="C513" s="223">
        <v>27</v>
      </c>
      <c r="D513" s="223">
        <v>4</v>
      </c>
      <c r="E513" s="223">
        <v>16576</v>
      </c>
    </row>
    <row r="514" spans="1:5" ht="15">
      <c r="A514" s="223" t="s">
        <v>534</v>
      </c>
      <c r="B514" s="223">
        <v>23</v>
      </c>
      <c r="C514" s="223">
        <v>27</v>
      </c>
      <c r="D514" s="223">
        <v>5</v>
      </c>
      <c r="E514" s="223">
        <v>5000</v>
      </c>
    </row>
    <row r="515" spans="1:5" ht="15">
      <c r="A515" s="223" t="s">
        <v>534</v>
      </c>
      <c r="B515" s="223">
        <v>24</v>
      </c>
      <c r="C515" s="223">
        <v>27</v>
      </c>
      <c r="D515" s="223">
        <v>2</v>
      </c>
      <c r="E515" s="223">
        <v>882541</v>
      </c>
    </row>
    <row r="516" spans="1:5" ht="15">
      <c r="A516" s="223" t="s">
        <v>534</v>
      </c>
      <c r="B516" s="223">
        <v>24</v>
      </c>
      <c r="C516" s="223">
        <v>27</v>
      </c>
      <c r="D516" s="223">
        <v>3</v>
      </c>
      <c r="E516" s="223">
        <v>66490</v>
      </c>
    </row>
    <row r="517" spans="1:5" ht="15">
      <c r="A517" s="223" t="s">
        <v>534</v>
      </c>
      <c r="B517" s="223">
        <v>24</v>
      </c>
      <c r="C517" s="223">
        <v>27</v>
      </c>
      <c r="D517" s="223">
        <v>4</v>
      </c>
      <c r="E517" s="223">
        <v>378693</v>
      </c>
    </row>
    <row r="518" spans="1:5" ht="15">
      <c r="A518" s="223" t="s">
        <v>536</v>
      </c>
      <c r="B518" s="223">
        <v>21</v>
      </c>
      <c r="C518" s="223">
        <v>21</v>
      </c>
      <c r="D518" s="223">
        <v>3</v>
      </c>
      <c r="E518" s="223">
        <v>27685</v>
      </c>
    </row>
    <row r="519" spans="1:5" ht="15">
      <c r="A519" s="223" t="s">
        <v>536</v>
      </c>
      <c r="B519" s="223">
        <v>21</v>
      </c>
      <c r="C519" s="223">
        <v>21</v>
      </c>
      <c r="D519" s="223">
        <v>4</v>
      </c>
      <c r="E519" s="223">
        <v>11868</v>
      </c>
    </row>
    <row r="520" spans="1:5" ht="15">
      <c r="A520" s="223" t="s">
        <v>536</v>
      </c>
      <c r="B520" s="223">
        <v>21</v>
      </c>
      <c r="C520" s="223">
        <v>26</v>
      </c>
      <c r="D520" s="223">
        <v>7</v>
      </c>
      <c r="E520" s="223">
        <v>564535</v>
      </c>
    </row>
    <row r="521" spans="1:5" ht="15">
      <c r="A521" s="223" t="s">
        <v>536</v>
      </c>
      <c r="B521" s="223">
        <v>21</v>
      </c>
      <c r="C521" s="223">
        <v>27</v>
      </c>
      <c r="D521" s="223">
        <v>2</v>
      </c>
      <c r="E521" s="223">
        <v>233316</v>
      </c>
    </row>
    <row r="522" spans="1:5" ht="15">
      <c r="A522" s="223" t="s">
        <v>536</v>
      </c>
      <c r="B522" s="223">
        <v>21</v>
      </c>
      <c r="C522" s="223">
        <v>27</v>
      </c>
      <c r="D522" s="223">
        <v>3</v>
      </c>
      <c r="E522" s="223">
        <v>157414</v>
      </c>
    </row>
    <row r="523" spans="1:5" ht="15">
      <c r="A523" s="223" t="s">
        <v>536</v>
      </c>
      <c r="B523" s="223">
        <v>21</v>
      </c>
      <c r="C523" s="223">
        <v>27</v>
      </c>
      <c r="D523" s="223">
        <v>4</v>
      </c>
      <c r="E523" s="223">
        <v>183573</v>
      </c>
    </row>
    <row r="524" spans="1:5" ht="15">
      <c r="A524" s="223" t="s">
        <v>536</v>
      </c>
      <c r="B524" s="223">
        <v>21</v>
      </c>
      <c r="C524" s="223">
        <v>27</v>
      </c>
      <c r="D524" s="223">
        <v>5</v>
      </c>
      <c r="E524" s="223">
        <v>4000</v>
      </c>
    </row>
    <row r="525" spans="1:5" ht="15">
      <c r="A525" s="223" t="s">
        <v>536</v>
      </c>
      <c r="B525" s="223">
        <v>21</v>
      </c>
      <c r="C525" s="223">
        <v>27</v>
      </c>
      <c r="D525" s="223">
        <v>7</v>
      </c>
      <c r="E525" s="223">
        <v>1500</v>
      </c>
    </row>
    <row r="526" spans="1:5" ht="15">
      <c r="A526" s="223" t="s">
        <v>536</v>
      </c>
      <c r="B526" s="223">
        <v>21</v>
      </c>
      <c r="C526" s="223">
        <v>32</v>
      </c>
      <c r="D526" s="223">
        <v>5</v>
      </c>
      <c r="E526" s="223">
        <v>1000</v>
      </c>
    </row>
    <row r="527" spans="1:5" ht="15">
      <c r="A527" s="223" t="s">
        <v>536</v>
      </c>
      <c r="B527" s="223">
        <v>21</v>
      </c>
      <c r="C527" s="223">
        <v>34</v>
      </c>
      <c r="D527" s="223">
        <v>2</v>
      </c>
      <c r="E527" s="223">
        <v>4911</v>
      </c>
    </row>
    <row r="528" spans="1:5" ht="15">
      <c r="A528" s="223" t="s">
        <v>536</v>
      </c>
      <c r="B528" s="223">
        <v>21</v>
      </c>
      <c r="C528" s="223">
        <v>34</v>
      </c>
      <c r="D528" s="223">
        <v>4</v>
      </c>
      <c r="E528" s="223">
        <v>1137</v>
      </c>
    </row>
    <row r="529" spans="1:5" ht="15">
      <c r="A529" s="223" t="s">
        <v>536</v>
      </c>
      <c r="B529" s="223">
        <v>24</v>
      </c>
      <c r="C529" s="223">
        <v>26</v>
      </c>
      <c r="D529" s="223">
        <v>7</v>
      </c>
      <c r="E529" s="223">
        <v>107474</v>
      </c>
    </row>
    <row r="530" spans="1:5" ht="15">
      <c r="A530" s="223" t="s">
        <v>536</v>
      </c>
      <c r="B530" s="223">
        <v>24</v>
      </c>
      <c r="C530" s="223">
        <v>27</v>
      </c>
      <c r="D530" s="223">
        <v>5</v>
      </c>
      <c r="E530" s="223">
        <v>9999</v>
      </c>
    </row>
    <row r="531" spans="1:5" ht="15">
      <c r="A531" s="223" t="s">
        <v>536</v>
      </c>
      <c r="B531" s="223">
        <v>29</v>
      </c>
      <c r="C531" s="223">
        <v>27</v>
      </c>
      <c r="D531" s="223">
        <v>2</v>
      </c>
      <c r="E531" s="223">
        <v>67504</v>
      </c>
    </row>
    <row r="532" spans="1:5" ht="15">
      <c r="A532" s="223" t="s">
        <v>536</v>
      </c>
      <c r="B532" s="223">
        <v>29</v>
      </c>
      <c r="C532" s="223">
        <v>27</v>
      </c>
      <c r="D532" s="223">
        <v>4</v>
      </c>
      <c r="E532" s="223">
        <v>27962</v>
      </c>
    </row>
    <row r="533" spans="1:5" ht="15">
      <c r="A533" s="223" t="s">
        <v>538</v>
      </c>
      <c r="B533" s="223">
        <v>21</v>
      </c>
      <c r="C533" s="223">
        <v>27</v>
      </c>
      <c r="D533" s="223">
        <v>2</v>
      </c>
      <c r="E533" s="223">
        <v>63224</v>
      </c>
    </row>
    <row r="534" spans="1:5" ht="15">
      <c r="A534" s="223" t="s">
        <v>538</v>
      </c>
      <c r="B534" s="223">
        <v>21</v>
      </c>
      <c r="C534" s="223">
        <v>27</v>
      </c>
      <c r="D534" s="223">
        <v>3</v>
      </c>
      <c r="E534" s="223">
        <v>45963</v>
      </c>
    </row>
    <row r="535" spans="1:5" ht="15">
      <c r="A535" s="223" t="s">
        <v>538</v>
      </c>
      <c r="B535" s="223">
        <v>21</v>
      </c>
      <c r="C535" s="223">
        <v>27</v>
      </c>
      <c r="D535" s="223">
        <v>4</v>
      </c>
      <c r="E535" s="223">
        <v>55019</v>
      </c>
    </row>
    <row r="536" spans="1:5" ht="15">
      <c r="A536" s="223" t="s">
        <v>538</v>
      </c>
      <c r="B536" s="223">
        <v>21</v>
      </c>
      <c r="C536" s="223">
        <v>27</v>
      </c>
      <c r="D536" s="223">
        <v>5</v>
      </c>
      <c r="E536" s="223">
        <v>10000</v>
      </c>
    </row>
    <row r="537" spans="1:5" ht="15">
      <c r="A537" s="223" t="s">
        <v>538</v>
      </c>
      <c r="B537" s="223">
        <v>21</v>
      </c>
      <c r="C537" s="223">
        <v>27</v>
      </c>
      <c r="D537" s="223">
        <v>7</v>
      </c>
      <c r="E537" s="223">
        <v>30600</v>
      </c>
    </row>
    <row r="538" spans="1:5" ht="15">
      <c r="A538" s="223" t="s">
        <v>538</v>
      </c>
      <c r="B538" s="223">
        <v>21</v>
      </c>
      <c r="C538" s="223">
        <v>29</v>
      </c>
      <c r="D538" s="223">
        <v>7</v>
      </c>
      <c r="E538" s="223">
        <v>120000</v>
      </c>
    </row>
    <row r="539" spans="1:5" ht="15">
      <c r="A539" s="223" t="s">
        <v>538</v>
      </c>
      <c r="B539" s="223">
        <v>24</v>
      </c>
      <c r="C539" s="223">
        <v>27</v>
      </c>
      <c r="D539" s="223">
        <v>3</v>
      </c>
      <c r="E539" s="223">
        <v>26922</v>
      </c>
    </row>
    <row r="540" spans="1:5" ht="15">
      <c r="A540" s="223" t="s">
        <v>538</v>
      </c>
      <c r="B540" s="223">
        <v>24</v>
      </c>
      <c r="C540" s="223">
        <v>27</v>
      </c>
      <c r="D540" s="223">
        <v>4</v>
      </c>
      <c r="E540" s="223">
        <v>18737</v>
      </c>
    </row>
    <row r="541" spans="1:5" ht="15">
      <c r="A541" s="223" t="s">
        <v>151</v>
      </c>
      <c r="B541" s="223">
        <v>21</v>
      </c>
      <c r="C541" s="223">
        <v>21</v>
      </c>
      <c r="D541" s="223">
        <v>2</v>
      </c>
      <c r="E541" s="223">
        <v>103014</v>
      </c>
    </row>
    <row r="542" spans="1:5" ht="15">
      <c r="A542" s="223" t="s">
        <v>151</v>
      </c>
      <c r="B542" s="223">
        <v>21</v>
      </c>
      <c r="C542" s="223">
        <v>21</v>
      </c>
      <c r="D542" s="223">
        <v>3</v>
      </c>
      <c r="E542" s="223">
        <v>27260</v>
      </c>
    </row>
    <row r="543" spans="1:5" ht="15">
      <c r="A543" s="223" t="s">
        <v>151</v>
      </c>
      <c r="B543" s="223">
        <v>21</v>
      </c>
      <c r="C543" s="223">
        <v>21</v>
      </c>
      <c r="D543" s="223">
        <v>4</v>
      </c>
      <c r="E543" s="223">
        <v>50893</v>
      </c>
    </row>
    <row r="544" spans="1:5" ht="15">
      <c r="A544" s="223" t="s">
        <v>151</v>
      </c>
      <c r="B544" s="223">
        <v>21</v>
      </c>
      <c r="C544" s="223">
        <v>21</v>
      </c>
      <c r="D544" s="223">
        <v>5</v>
      </c>
      <c r="E544" s="223">
        <v>7250</v>
      </c>
    </row>
    <row r="545" spans="1:5" ht="15">
      <c r="A545" s="223" t="s">
        <v>151</v>
      </c>
      <c r="B545" s="223">
        <v>21</v>
      </c>
      <c r="C545" s="223">
        <v>21</v>
      </c>
      <c r="D545" s="223">
        <v>7</v>
      </c>
      <c r="E545" s="223">
        <v>1750</v>
      </c>
    </row>
    <row r="546" spans="1:5" ht="15">
      <c r="A546" s="223" t="s">
        <v>151</v>
      </c>
      <c r="B546" s="223">
        <v>21</v>
      </c>
      <c r="C546" s="223">
        <v>26</v>
      </c>
      <c r="D546" s="223">
        <v>2</v>
      </c>
      <c r="E546" s="223">
        <v>237770</v>
      </c>
    </row>
    <row r="547" spans="1:5" ht="15">
      <c r="A547" s="223" t="s">
        <v>151</v>
      </c>
      <c r="B547" s="223">
        <v>21</v>
      </c>
      <c r="C547" s="223">
        <v>26</v>
      </c>
      <c r="D547" s="223">
        <v>3</v>
      </c>
      <c r="E547" s="223">
        <v>38431</v>
      </c>
    </row>
    <row r="548" spans="1:5" ht="15">
      <c r="A548" s="223" t="s">
        <v>151</v>
      </c>
      <c r="B548" s="223">
        <v>21</v>
      </c>
      <c r="C548" s="223">
        <v>26</v>
      </c>
      <c r="D548" s="223">
        <v>4</v>
      </c>
      <c r="E548" s="223">
        <v>110968</v>
      </c>
    </row>
    <row r="549" spans="1:5" ht="15">
      <c r="A549" s="223" t="s">
        <v>151</v>
      </c>
      <c r="B549" s="223">
        <v>21</v>
      </c>
      <c r="C549" s="223">
        <v>26</v>
      </c>
      <c r="D549" s="223">
        <v>7</v>
      </c>
      <c r="E549" s="223">
        <v>10000</v>
      </c>
    </row>
    <row r="550" spans="1:5" ht="15">
      <c r="A550" s="223" t="s">
        <v>151</v>
      </c>
      <c r="B550" s="223">
        <v>21</v>
      </c>
      <c r="C550" s="223">
        <v>26</v>
      </c>
      <c r="D550" s="223">
        <v>8</v>
      </c>
      <c r="E550" s="223">
        <v>2000</v>
      </c>
    </row>
    <row r="551" spans="1:5" ht="15">
      <c r="A551" s="223" t="s">
        <v>151</v>
      </c>
      <c r="B551" s="223">
        <v>21</v>
      </c>
      <c r="C551" s="223">
        <v>27</v>
      </c>
      <c r="D551" s="223">
        <v>2</v>
      </c>
      <c r="E551" s="223">
        <v>594261</v>
      </c>
    </row>
    <row r="552" spans="1:5" ht="15">
      <c r="A552" s="223" t="s">
        <v>151</v>
      </c>
      <c r="B552" s="223">
        <v>21</v>
      </c>
      <c r="C552" s="223">
        <v>27</v>
      </c>
      <c r="D552" s="223">
        <v>3</v>
      </c>
      <c r="E552" s="223">
        <v>311889</v>
      </c>
    </row>
    <row r="553" spans="1:5" ht="15">
      <c r="A553" s="223" t="s">
        <v>151</v>
      </c>
      <c r="B553" s="223">
        <v>21</v>
      </c>
      <c r="C553" s="223">
        <v>27</v>
      </c>
      <c r="D553" s="223">
        <v>4</v>
      </c>
      <c r="E553" s="223">
        <v>421720</v>
      </c>
    </row>
    <row r="554" spans="1:5" ht="15">
      <c r="A554" s="223" t="s">
        <v>151</v>
      </c>
      <c r="B554" s="223">
        <v>21</v>
      </c>
      <c r="C554" s="223">
        <v>27</v>
      </c>
      <c r="D554" s="223">
        <v>5</v>
      </c>
      <c r="E554" s="223">
        <v>9000</v>
      </c>
    </row>
    <row r="555" spans="1:5" ht="15">
      <c r="A555" s="223" t="s">
        <v>151</v>
      </c>
      <c r="B555" s="223">
        <v>21</v>
      </c>
      <c r="C555" s="223">
        <v>27</v>
      </c>
      <c r="D555" s="223">
        <v>7</v>
      </c>
      <c r="E555" s="223">
        <v>10000</v>
      </c>
    </row>
    <row r="556" spans="1:5" ht="15">
      <c r="A556" s="223" t="s">
        <v>151</v>
      </c>
      <c r="B556" s="223">
        <v>21</v>
      </c>
      <c r="C556" s="223">
        <v>31</v>
      </c>
      <c r="D556" s="223">
        <v>2</v>
      </c>
      <c r="E556" s="223">
        <v>3948</v>
      </c>
    </row>
    <row r="557" spans="1:5" ht="15">
      <c r="A557" s="223" t="s">
        <v>151</v>
      </c>
      <c r="B557" s="223">
        <v>21</v>
      </c>
      <c r="C557" s="223">
        <v>31</v>
      </c>
      <c r="D557" s="223">
        <v>4</v>
      </c>
      <c r="E557" s="223">
        <v>1524</v>
      </c>
    </row>
    <row r="558" spans="1:5" ht="15">
      <c r="A558" s="223" t="s">
        <v>151</v>
      </c>
      <c r="B558" s="223">
        <v>21</v>
      </c>
      <c r="C558" s="223">
        <v>31</v>
      </c>
      <c r="D558" s="223">
        <v>7</v>
      </c>
      <c r="E558" s="223">
        <v>5000</v>
      </c>
    </row>
    <row r="559" spans="1:5" ht="15">
      <c r="A559" s="223" t="s">
        <v>151</v>
      </c>
      <c r="B559" s="223">
        <v>21</v>
      </c>
      <c r="C559" s="223">
        <v>32</v>
      </c>
      <c r="D559" s="223">
        <v>5</v>
      </c>
      <c r="E559" s="223">
        <v>4000</v>
      </c>
    </row>
    <row r="560" spans="1:5" ht="15">
      <c r="A560" s="223" t="s">
        <v>151</v>
      </c>
      <c r="B560" s="223">
        <v>21</v>
      </c>
      <c r="C560" s="223">
        <v>34</v>
      </c>
      <c r="D560" s="223">
        <v>2</v>
      </c>
      <c r="E560" s="223">
        <v>13214</v>
      </c>
    </row>
    <row r="561" spans="1:5" ht="15">
      <c r="A561" s="223" t="s">
        <v>151</v>
      </c>
      <c r="B561" s="223">
        <v>21</v>
      </c>
      <c r="C561" s="223">
        <v>34</v>
      </c>
      <c r="D561" s="223">
        <v>4</v>
      </c>
      <c r="E561" s="223">
        <v>5099</v>
      </c>
    </row>
    <row r="562" spans="1:5" ht="15">
      <c r="A562" s="223" t="s">
        <v>151</v>
      </c>
      <c r="B562" s="223">
        <v>24</v>
      </c>
      <c r="C562" s="223">
        <v>27</v>
      </c>
      <c r="D562" s="223">
        <v>3</v>
      </c>
      <c r="E562" s="223">
        <v>181622</v>
      </c>
    </row>
    <row r="563" spans="1:5" ht="15">
      <c r="A563" s="223" t="s">
        <v>151</v>
      </c>
      <c r="B563" s="223">
        <v>24</v>
      </c>
      <c r="C563" s="223">
        <v>27</v>
      </c>
      <c r="D563" s="223">
        <v>4</v>
      </c>
      <c r="E563" s="223">
        <v>124079</v>
      </c>
    </row>
    <row r="564" spans="1:5" ht="15">
      <c r="A564" s="223" t="s">
        <v>151</v>
      </c>
      <c r="B564" s="223">
        <v>24</v>
      </c>
      <c r="C564" s="223">
        <v>27</v>
      </c>
      <c r="D564" s="223">
        <v>7</v>
      </c>
      <c r="E564" s="223">
        <v>7500</v>
      </c>
    </row>
    <row r="565" spans="1:5" ht="15">
      <c r="A565" s="223" t="s">
        <v>153</v>
      </c>
      <c r="B565" s="223">
        <v>21</v>
      </c>
      <c r="C565" s="223">
        <v>21</v>
      </c>
      <c r="D565" s="223">
        <v>2</v>
      </c>
      <c r="E565" s="223">
        <v>58209</v>
      </c>
    </row>
    <row r="566" spans="1:5" ht="15">
      <c r="A566" s="223" t="s">
        <v>153</v>
      </c>
      <c r="B566" s="223">
        <v>21</v>
      </c>
      <c r="C566" s="223">
        <v>21</v>
      </c>
      <c r="D566" s="223">
        <v>4</v>
      </c>
      <c r="E566" s="223">
        <v>19488</v>
      </c>
    </row>
    <row r="567" spans="1:5" ht="15">
      <c r="A567" s="223" t="s">
        <v>153</v>
      </c>
      <c r="B567" s="223">
        <v>21</v>
      </c>
      <c r="C567" s="223">
        <v>21</v>
      </c>
      <c r="D567" s="223">
        <v>5</v>
      </c>
      <c r="E567" s="223">
        <v>1500</v>
      </c>
    </row>
    <row r="568" spans="1:5" ht="15">
      <c r="A568" s="223" t="s">
        <v>153</v>
      </c>
      <c r="B568" s="223">
        <v>21</v>
      </c>
      <c r="C568" s="223">
        <v>21</v>
      </c>
      <c r="D568" s="223">
        <v>7</v>
      </c>
      <c r="E568" s="223">
        <v>856</v>
      </c>
    </row>
    <row r="569" spans="1:5" ht="15">
      <c r="A569" s="223" t="s">
        <v>153</v>
      </c>
      <c r="B569" s="223">
        <v>21</v>
      </c>
      <c r="C569" s="223">
        <v>26</v>
      </c>
      <c r="D569" s="223">
        <v>2</v>
      </c>
      <c r="E569" s="223">
        <v>474703</v>
      </c>
    </row>
    <row r="570" spans="1:5" ht="15">
      <c r="A570" s="223" t="s">
        <v>153</v>
      </c>
      <c r="B570" s="223">
        <v>21</v>
      </c>
      <c r="C570" s="223">
        <v>26</v>
      </c>
      <c r="D570" s="223">
        <v>4</v>
      </c>
      <c r="E570" s="223">
        <v>195051</v>
      </c>
    </row>
    <row r="571" spans="1:5" ht="15">
      <c r="A571" s="223" t="s">
        <v>153</v>
      </c>
      <c r="B571" s="223">
        <v>21</v>
      </c>
      <c r="C571" s="223">
        <v>26</v>
      </c>
      <c r="D571" s="223">
        <v>7</v>
      </c>
      <c r="E571" s="223">
        <v>87000</v>
      </c>
    </row>
    <row r="572" spans="1:5" ht="15">
      <c r="A572" s="223" t="s">
        <v>153</v>
      </c>
      <c r="B572" s="223">
        <v>21</v>
      </c>
      <c r="C572" s="223">
        <v>27</v>
      </c>
      <c r="D572" s="223">
        <v>2</v>
      </c>
      <c r="E572" s="223">
        <v>669470</v>
      </c>
    </row>
    <row r="573" spans="1:5" ht="15">
      <c r="A573" s="223" t="s">
        <v>153</v>
      </c>
      <c r="B573" s="223">
        <v>21</v>
      </c>
      <c r="C573" s="223">
        <v>27</v>
      </c>
      <c r="D573" s="223">
        <v>3</v>
      </c>
      <c r="E573" s="223">
        <v>581524</v>
      </c>
    </row>
    <row r="574" spans="1:5" ht="15">
      <c r="A574" s="223" t="s">
        <v>153</v>
      </c>
      <c r="B574" s="223">
        <v>21</v>
      </c>
      <c r="C574" s="223">
        <v>27</v>
      </c>
      <c r="D574" s="223">
        <v>4</v>
      </c>
      <c r="E574" s="223">
        <v>590180</v>
      </c>
    </row>
    <row r="575" spans="1:5" ht="15">
      <c r="A575" s="223" t="s">
        <v>153</v>
      </c>
      <c r="B575" s="223">
        <v>21</v>
      </c>
      <c r="C575" s="223">
        <v>27</v>
      </c>
      <c r="D575" s="223">
        <v>5</v>
      </c>
      <c r="E575" s="223">
        <v>36685</v>
      </c>
    </row>
    <row r="576" spans="1:5" ht="15">
      <c r="A576" s="223" t="s">
        <v>153</v>
      </c>
      <c r="B576" s="223">
        <v>21</v>
      </c>
      <c r="C576" s="223">
        <v>27</v>
      </c>
      <c r="D576" s="223">
        <v>7</v>
      </c>
      <c r="E576" s="223">
        <v>60095</v>
      </c>
    </row>
    <row r="577" spans="1:5" ht="15">
      <c r="A577" s="223" t="s">
        <v>153</v>
      </c>
      <c r="B577" s="223">
        <v>21</v>
      </c>
      <c r="C577" s="223">
        <v>31</v>
      </c>
      <c r="D577" s="223">
        <v>7</v>
      </c>
      <c r="E577" s="223">
        <v>5652</v>
      </c>
    </row>
    <row r="578" spans="1:5" ht="15">
      <c r="A578" s="223" t="s">
        <v>153</v>
      </c>
      <c r="B578" s="223">
        <v>21</v>
      </c>
      <c r="C578" s="223">
        <v>31</v>
      </c>
      <c r="D578" s="223">
        <v>8</v>
      </c>
      <c r="E578" s="223">
        <v>2743</v>
      </c>
    </row>
    <row r="579" spans="1:5" ht="15">
      <c r="A579" s="223" t="s">
        <v>153</v>
      </c>
      <c r="B579" s="223">
        <v>21</v>
      </c>
      <c r="C579" s="223">
        <v>32</v>
      </c>
      <c r="D579" s="223">
        <v>5</v>
      </c>
      <c r="E579" s="223">
        <v>5411</v>
      </c>
    </row>
    <row r="580" spans="1:5" ht="15">
      <c r="A580" s="223" t="s">
        <v>153</v>
      </c>
      <c r="B580" s="223">
        <v>21</v>
      </c>
      <c r="C580" s="223">
        <v>32</v>
      </c>
      <c r="D580" s="223">
        <v>7</v>
      </c>
      <c r="E580" s="223">
        <v>1220</v>
      </c>
    </row>
    <row r="581" spans="1:5" ht="15">
      <c r="A581" s="223" t="s">
        <v>153</v>
      </c>
      <c r="B581" s="223">
        <v>24</v>
      </c>
      <c r="C581" s="223">
        <v>21</v>
      </c>
      <c r="D581" s="223">
        <v>2</v>
      </c>
      <c r="E581" s="223">
        <v>29104</v>
      </c>
    </row>
    <row r="582" spans="1:5" ht="15">
      <c r="A582" s="223" t="s">
        <v>153</v>
      </c>
      <c r="B582" s="223">
        <v>24</v>
      </c>
      <c r="C582" s="223">
        <v>21</v>
      </c>
      <c r="D582" s="223">
        <v>4</v>
      </c>
      <c r="E582" s="223">
        <v>9744</v>
      </c>
    </row>
    <row r="583" spans="1:5" ht="15">
      <c r="A583" s="223" t="s">
        <v>153</v>
      </c>
      <c r="B583" s="223">
        <v>24</v>
      </c>
      <c r="C583" s="223">
        <v>27</v>
      </c>
      <c r="D583" s="223">
        <v>2</v>
      </c>
      <c r="E583" s="223">
        <v>85380</v>
      </c>
    </row>
    <row r="584" spans="1:5" ht="15">
      <c r="A584" s="223" t="s">
        <v>153</v>
      </c>
      <c r="B584" s="223">
        <v>24</v>
      </c>
      <c r="C584" s="223">
        <v>27</v>
      </c>
      <c r="D584" s="223">
        <v>3</v>
      </c>
      <c r="E584" s="223">
        <v>99357</v>
      </c>
    </row>
    <row r="585" spans="1:5" ht="15">
      <c r="A585" s="223" t="s">
        <v>153</v>
      </c>
      <c r="B585" s="223">
        <v>24</v>
      </c>
      <c r="C585" s="223">
        <v>27</v>
      </c>
      <c r="D585" s="223">
        <v>4</v>
      </c>
      <c r="E585" s="223">
        <v>91967</v>
      </c>
    </row>
    <row r="586" spans="1:5" ht="15">
      <c r="A586" s="223" t="s">
        <v>155</v>
      </c>
      <c r="B586" s="223">
        <v>21</v>
      </c>
      <c r="C586" s="223">
        <v>21</v>
      </c>
      <c r="D586" s="223">
        <v>2</v>
      </c>
      <c r="E586" s="223">
        <v>117369</v>
      </c>
    </row>
    <row r="587" spans="1:5" ht="15">
      <c r="A587" s="223" t="s">
        <v>155</v>
      </c>
      <c r="B587" s="223">
        <v>21</v>
      </c>
      <c r="C587" s="223">
        <v>21</v>
      </c>
      <c r="D587" s="223">
        <v>3</v>
      </c>
      <c r="E587" s="223">
        <v>44046</v>
      </c>
    </row>
    <row r="588" spans="1:5" ht="15">
      <c r="A588" s="223" t="s">
        <v>155</v>
      </c>
      <c r="B588" s="223">
        <v>21</v>
      </c>
      <c r="C588" s="223">
        <v>21</v>
      </c>
      <c r="D588" s="223">
        <v>4</v>
      </c>
      <c r="E588" s="223">
        <v>53917</v>
      </c>
    </row>
    <row r="589" spans="1:5" ht="15">
      <c r="A589" s="223" t="s">
        <v>155</v>
      </c>
      <c r="B589" s="223">
        <v>21</v>
      </c>
      <c r="C589" s="223">
        <v>26</v>
      </c>
      <c r="D589" s="223">
        <v>2</v>
      </c>
      <c r="E589" s="223">
        <v>370042</v>
      </c>
    </row>
    <row r="590" spans="1:5" ht="15">
      <c r="A590" s="223" t="s">
        <v>155</v>
      </c>
      <c r="B590" s="223">
        <v>21</v>
      </c>
      <c r="C590" s="223">
        <v>26</v>
      </c>
      <c r="D590" s="223">
        <v>4</v>
      </c>
      <c r="E590" s="223">
        <v>135789</v>
      </c>
    </row>
    <row r="591" spans="1:5" ht="15">
      <c r="A591" s="223" t="s">
        <v>155</v>
      </c>
      <c r="B591" s="223">
        <v>21</v>
      </c>
      <c r="C591" s="223">
        <v>26</v>
      </c>
      <c r="D591" s="223">
        <v>7</v>
      </c>
      <c r="E591" s="223">
        <v>150000</v>
      </c>
    </row>
    <row r="592" spans="1:5" ht="15">
      <c r="A592" s="223" t="s">
        <v>155</v>
      </c>
      <c r="B592" s="223">
        <v>21</v>
      </c>
      <c r="C592" s="223">
        <v>27</v>
      </c>
      <c r="D592" s="223">
        <v>2</v>
      </c>
      <c r="E592" s="223">
        <v>450402</v>
      </c>
    </row>
    <row r="593" spans="1:5" ht="15">
      <c r="A593" s="223" t="s">
        <v>155</v>
      </c>
      <c r="B593" s="223">
        <v>21</v>
      </c>
      <c r="C593" s="223">
        <v>27</v>
      </c>
      <c r="D593" s="223">
        <v>3</v>
      </c>
      <c r="E593" s="223">
        <v>740118</v>
      </c>
    </row>
    <row r="594" spans="1:5" ht="15">
      <c r="A594" s="223" t="s">
        <v>155</v>
      </c>
      <c r="B594" s="223">
        <v>21</v>
      </c>
      <c r="C594" s="223">
        <v>27</v>
      </c>
      <c r="D594" s="223">
        <v>4</v>
      </c>
      <c r="E594" s="223">
        <v>661444</v>
      </c>
    </row>
    <row r="595" spans="1:5" ht="15">
      <c r="A595" s="223" t="s">
        <v>155</v>
      </c>
      <c r="B595" s="223">
        <v>21</v>
      </c>
      <c r="C595" s="223">
        <v>27</v>
      </c>
      <c r="D595" s="223">
        <v>5</v>
      </c>
      <c r="E595" s="223">
        <v>10000</v>
      </c>
    </row>
    <row r="596" spans="1:5" ht="15">
      <c r="A596" s="223" t="s">
        <v>155</v>
      </c>
      <c r="B596" s="223">
        <v>21</v>
      </c>
      <c r="C596" s="223">
        <v>27</v>
      </c>
      <c r="D596" s="223">
        <v>7</v>
      </c>
      <c r="E596" s="223">
        <v>558637</v>
      </c>
    </row>
    <row r="597" spans="1:5" ht="15">
      <c r="A597" s="223" t="s">
        <v>155</v>
      </c>
      <c r="B597" s="223">
        <v>21</v>
      </c>
      <c r="C597" s="223">
        <v>34</v>
      </c>
      <c r="D597" s="223">
        <v>2</v>
      </c>
      <c r="E597" s="223">
        <v>22430</v>
      </c>
    </row>
    <row r="598" spans="1:5" ht="15">
      <c r="A598" s="223" t="s">
        <v>155</v>
      </c>
      <c r="B598" s="223">
        <v>21</v>
      </c>
      <c r="C598" s="223">
        <v>34</v>
      </c>
      <c r="D598" s="223">
        <v>4</v>
      </c>
      <c r="E598" s="223">
        <v>6090</v>
      </c>
    </row>
    <row r="599" spans="1:5" ht="15">
      <c r="A599" s="223" t="s">
        <v>155</v>
      </c>
      <c r="B599" s="223">
        <v>23</v>
      </c>
      <c r="C599" s="223">
        <v>26</v>
      </c>
      <c r="D599" s="223">
        <v>7</v>
      </c>
      <c r="E599" s="223">
        <v>22000</v>
      </c>
    </row>
    <row r="600" spans="1:5" ht="15">
      <c r="A600" s="223" t="s">
        <v>155</v>
      </c>
      <c r="B600" s="223">
        <v>24</v>
      </c>
      <c r="C600" s="223">
        <v>27</v>
      </c>
      <c r="D600" s="223">
        <v>2</v>
      </c>
      <c r="E600" s="223">
        <v>241822</v>
      </c>
    </row>
    <row r="601" spans="1:5" ht="15">
      <c r="A601" s="223" t="s">
        <v>155</v>
      </c>
      <c r="B601" s="223">
        <v>24</v>
      </c>
      <c r="C601" s="223">
        <v>27</v>
      </c>
      <c r="D601" s="223">
        <v>3</v>
      </c>
      <c r="E601" s="223">
        <v>26800</v>
      </c>
    </row>
    <row r="602" spans="1:5" ht="15">
      <c r="A602" s="223" t="s">
        <v>155</v>
      </c>
      <c r="B602" s="223">
        <v>24</v>
      </c>
      <c r="C602" s="223">
        <v>27</v>
      </c>
      <c r="D602" s="223">
        <v>4</v>
      </c>
      <c r="E602" s="223">
        <v>111646</v>
      </c>
    </row>
    <row r="603" spans="1:5" ht="15">
      <c r="A603" s="223" t="s">
        <v>1050</v>
      </c>
      <c r="B603" s="223">
        <v>21</v>
      </c>
      <c r="C603" s="223">
        <v>21</v>
      </c>
      <c r="D603" s="223">
        <v>2</v>
      </c>
      <c r="E603" s="223">
        <v>66880</v>
      </c>
    </row>
    <row r="604" spans="1:5" ht="15">
      <c r="A604" s="223" t="s">
        <v>1050</v>
      </c>
      <c r="B604" s="223">
        <v>21</v>
      </c>
      <c r="C604" s="223">
        <v>21</v>
      </c>
      <c r="D604" s="223">
        <v>4</v>
      </c>
      <c r="E604" s="223">
        <v>25516</v>
      </c>
    </row>
    <row r="605" spans="1:5" ht="15">
      <c r="A605" s="223" t="s">
        <v>1050</v>
      </c>
      <c r="B605" s="223">
        <v>21</v>
      </c>
      <c r="C605" s="223">
        <v>26</v>
      </c>
      <c r="D605" s="223">
        <v>7</v>
      </c>
      <c r="E605" s="223">
        <v>87453</v>
      </c>
    </row>
    <row r="606" spans="1:5" ht="15">
      <c r="A606" s="223" t="s">
        <v>1050</v>
      </c>
      <c r="B606" s="223">
        <v>21</v>
      </c>
      <c r="C606" s="223">
        <v>27</v>
      </c>
      <c r="D606" s="223">
        <v>2</v>
      </c>
      <c r="E606" s="223">
        <v>116434</v>
      </c>
    </row>
    <row r="607" spans="1:5" ht="15">
      <c r="A607" s="223" t="s">
        <v>1050</v>
      </c>
      <c r="B607" s="223">
        <v>21</v>
      </c>
      <c r="C607" s="223">
        <v>27</v>
      </c>
      <c r="D607" s="223">
        <v>3</v>
      </c>
      <c r="E607" s="223">
        <v>126331</v>
      </c>
    </row>
    <row r="608" spans="1:5" ht="15">
      <c r="A608" s="223" t="s">
        <v>1050</v>
      </c>
      <c r="B608" s="223">
        <v>21</v>
      </c>
      <c r="C608" s="223">
        <v>27</v>
      </c>
      <c r="D608" s="223">
        <v>4</v>
      </c>
      <c r="E608" s="223">
        <v>103330</v>
      </c>
    </row>
    <row r="609" spans="1:5" ht="15">
      <c r="A609" s="223" t="s">
        <v>1050</v>
      </c>
      <c r="B609" s="223">
        <v>21</v>
      </c>
      <c r="C609" s="223">
        <v>27</v>
      </c>
      <c r="D609" s="223">
        <v>5</v>
      </c>
      <c r="E609" s="223">
        <v>10402</v>
      </c>
    </row>
    <row r="610" spans="1:5" ht="15">
      <c r="A610" s="223" t="s">
        <v>1050</v>
      </c>
      <c r="B610" s="223">
        <v>21</v>
      </c>
      <c r="C610" s="223">
        <v>27</v>
      </c>
      <c r="D610" s="223">
        <v>7</v>
      </c>
      <c r="E610" s="223">
        <v>19430</v>
      </c>
    </row>
    <row r="611" spans="1:5" ht="15">
      <c r="A611" s="223" t="s">
        <v>1050</v>
      </c>
      <c r="B611" s="223">
        <v>21</v>
      </c>
      <c r="C611" s="223">
        <v>34</v>
      </c>
      <c r="D611" s="223">
        <v>2</v>
      </c>
      <c r="E611" s="223">
        <v>5400</v>
      </c>
    </row>
    <row r="612" spans="1:5" ht="15">
      <c r="A612" s="223" t="s">
        <v>1050</v>
      </c>
      <c r="B612" s="223">
        <v>21</v>
      </c>
      <c r="C612" s="223">
        <v>34</v>
      </c>
      <c r="D612" s="223">
        <v>4</v>
      </c>
      <c r="E612" s="223">
        <v>2416</v>
      </c>
    </row>
    <row r="613" spans="1:5" ht="15">
      <c r="A613" s="223" t="s">
        <v>1050</v>
      </c>
      <c r="B613" s="223">
        <v>21</v>
      </c>
      <c r="C613" s="223">
        <v>34</v>
      </c>
      <c r="D613" s="223">
        <v>7</v>
      </c>
      <c r="E613" s="223">
        <v>1500</v>
      </c>
    </row>
    <row r="614" spans="1:5" ht="15">
      <c r="A614" s="223" t="s">
        <v>1050</v>
      </c>
      <c r="B614" s="223">
        <v>24</v>
      </c>
      <c r="C614" s="223">
        <v>26</v>
      </c>
      <c r="D614" s="223">
        <v>7</v>
      </c>
      <c r="E614" s="223">
        <v>50620</v>
      </c>
    </row>
    <row r="615" spans="1:5" ht="15">
      <c r="A615" s="223" t="s">
        <v>157</v>
      </c>
      <c r="B615" s="223">
        <v>21</v>
      </c>
      <c r="C615" s="223">
        <v>27</v>
      </c>
      <c r="D615" s="223">
        <v>7</v>
      </c>
      <c r="E615" s="223">
        <v>72737</v>
      </c>
    </row>
    <row r="616" spans="1:5" ht="15">
      <c r="A616" s="223" t="s">
        <v>281</v>
      </c>
      <c r="B616" s="223">
        <v>21</v>
      </c>
      <c r="C616" s="223">
        <v>21</v>
      </c>
      <c r="D616" s="223">
        <v>0</v>
      </c>
      <c r="E616" s="223">
        <v>60</v>
      </c>
    </row>
    <row r="617" spans="1:5" ht="15">
      <c r="A617" s="223" t="s">
        <v>281</v>
      </c>
      <c r="B617" s="223">
        <v>21</v>
      </c>
      <c r="C617" s="223">
        <v>21</v>
      </c>
      <c r="D617" s="223">
        <v>2</v>
      </c>
      <c r="E617" s="223">
        <v>922277</v>
      </c>
    </row>
    <row r="618" spans="1:5" ht="15">
      <c r="A618" s="223" t="s">
        <v>281</v>
      </c>
      <c r="B618" s="223">
        <v>21</v>
      </c>
      <c r="C618" s="223">
        <v>21</v>
      </c>
      <c r="D618" s="223">
        <v>3</v>
      </c>
      <c r="E618" s="223">
        <v>283734</v>
      </c>
    </row>
    <row r="619" spans="1:5" ht="15">
      <c r="A619" s="223" t="s">
        <v>281</v>
      </c>
      <c r="B619" s="223">
        <v>21</v>
      </c>
      <c r="C619" s="223">
        <v>21</v>
      </c>
      <c r="D619" s="223">
        <v>4</v>
      </c>
      <c r="E619" s="223">
        <v>413026</v>
      </c>
    </row>
    <row r="620" spans="1:5" ht="15">
      <c r="A620" s="223" t="s">
        <v>281</v>
      </c>
      <c r="B620" s="223">
        <v>21</v>
      </c>
      <c r="C620" s="223">
        <v>21</v>
      </c>
      <c r="D620" s="223">
        <v>5</v>
      </c>
      <c r="E620" s="223">
        <v>13150</v>
      </c>
    </row>
    <row r="621" spans="1:5" ht="15">
      <c r="A621" s="223" t="s">
        <v>281</v>
      </c>
      <c r="B621" s="223">
        <v>21</v>
      </c>
      <c r="C621" s="223">
        <v>21</v>
      </c>
      <c r="D621" s="223">
        <v>7</v>
      </c>
      <c r="E621" s="223">
        <v>6750</v>
      </c>
    </row>
    <row r="622" spans="1:5" ht="15">
      <c r="A622" s="223" t="s">
        <v>281</v>
      </c>
      <c r="B622" s="223">
        <v>21</v>
      </c>
      <c r="C622" s="223">
        <v>21</v>
      </c>
      <c r="D622" s="223">
        <v>8</v>
      </c>
      <c r="E622" s="223">
        <v>4500</v>
      </c>
    </row>
    <row r="623" spans="1:5" ht="15">
      <c r="A623" s="223" t="s">
        <v>281</v>
      </c>
      <c r="B623" s="223">
        <v>21</v>
      </c>
      <c r="C623" s="223">
        <v>26</v>
      </c>
      <c r="D623" s="223">
        <v>2</v>
      </c>
      <c r="E623" s="223">
        <v>2836064</v>
      </c>
    </row>
    <row r="624" spans="1:5" ht="15">
      <c r="A624" s="223" t="s">
        <v>281</v>
      </c>
      <c r="B624" s="223">
        <v>21</v>
      </c>
      <c r="C624" s="223">
        <v>26</v>
      </c>
      <c r="D624" s="223">
        <v>3</v>
      </c>
      <c r="E624" s="223">
        <v>366257</v>
      </c>
    </row>
    <row r="625" spans="1:5" ht="15">
      <c r="A625" s="223" t="s">
        <v>281</v>
      </c>
      <c r="B625" s="223">
        <v>21</v>
      </c>
      <c r="C625" s="223">
        <v>26</v>
      </c>
      <c r="D625" s="223">
        <v>4</v>
      </c>
      <c r="E625" s="223">
        <v>1173525</v>
      </c>
    </row>
    <row r="626" spans="1:5" ht="15">
      <c r="A626" s="223" t="s">
        <v>281</v>
      </c>
      <c r="B626" s="223">
        <v>21</v>
      </c>
      <c r="C626" s="223">
        <v>26</v>
      </c>
      <c r="D626" s="223">
        <v>5</v>
      </c>
      <c r="E626" s="223">
        <v>23713</v>
      </c>
    </row>
    <row r="627" spans="1:5" ht="15">
      <c r="A627" s="223" t="s">
        <v>281</v>
      </c>
      <c r="B627" s="223">
        <v>21</v>
      </c>
      <c r="C627" s="223">
        <v>26</v>
      </c>
      <c r="D627" s="223">
        <v>8</v>
      </c>
      <c r="E627" s="223">
        <v>5551</v>
      </c>
    </row>
    <row r="628" spans="1:5" ht="15">
      <c r="A628" s="223" t="s">
        <v>281</v>
      </c>
      <c r="B628" s="223">
        <v>21</v>
      </c>
      <c r="C628" s="223">
        <v>27</v>
      </c>
      <c r="D628" s="223">
        <v>0</v>
      </c>
      <c r="E628" s="223">
        <v>60843</v>
      </c>
    </row>
    <row r="629" spans="1:5" ht="15">
      <c r="A629" s="223" t="s">
        <v>281</v>
      </c>
      <c r="B629" s="223">
        <v>21</v>
      </c>
      <c r="C629" s="223">
        <v>27</v>
      </c>
      <c r="D629" s="223">
        <v>2</v>
      </c>
      <c r="E629" s="223">
        <v>8967524</v>
      </c>
    </row>
    <row r="630" spans="1:5" ht="15">
      <c r="A630" s="223" t="s">
        <v>281</v>
      </c>
      <c r="B630" s="223">
        <v>21</v>
      </c>
      <c r="C630" s="223">
        <v>27</v>
      </c>
      <c r="D630" s="223">
        <v>3</v>
      </c>
      <c r="E630" s="223">
        <v>5287899</v>
      </c>
    </row>
    <row r="631" spans="1:5" ht="15">
      <c r="A631" s="223" t="s">
        <v>281</v>
      </c>
      <c r="B631" s="223">
        <v>21</v>
      </c>
      <c r="C631" s="223">
        <v>27</v>
      </c>
      <c r="D631" s="223">
        <v>4</v>
      </c>
      <c r="E631" s="223">
        <v>5819650</v>
      </c>
    </row>
    <row r="632" spans="1:5" ht="15">
      <c r="A632" s="223" t="s">
        <v>281</v>
      </c>
      <c r="B632" s="223">
        <v>21</v>
      </c>
      <c r="C632" s="223">
        <v>27</v>
      </c>
      <c r="D632" s="223">
        <v>5</v>
      </c>
      <c r="E632" s="223">
        <v>101839</v>
      </c>
    </row>
    <row r="633" spans="1:5" ht="15">
      <c r="A633" s="223" t="s">
        <v>281</v>
      </c>
      <c r="B633" s="223">
        <v>21</v>
      </c>
      <c r="C633" s="223">
        <v>27</v>
      </c>
      <c r="D633" s="223">
        <v>7</v>
      </c>
      <c r="E633" s="223">
        <v>614000</v>
      </c>
    </row>
    <row r="634" spans="1:5" ht="15">
      <c r="A634" s="223" t="s">
        <v>281</v>
      </c>
      <c r="B634" s="223">
        <v>21</v>
      </c>
      <c r="C634" s="223">
        <v>27</v>
      </c>
      <c r="D634" s="223">
        <v>8</v>
      </c>
      <c r="E634" s="223">
        <v>17171</v>
      </c>
    </row>
    <row r="635" spans="1:5" ht="15">
      <c r="A635" s="223" t="s">
        <v>281</v>
      </c>
      <c r="B635" s="223">
        <v>21</v>
      </c>
      <c r="C635" s="223">
        <v>31</v>
      </c>
      <c r="D635" s="223">
        <v>7</v>
      </c>
      <c r="E635" s="223">
        <v>2143</v>
      </c>
    </row>
    <row r="636" spans="1:5" ht="15">
      <c r="A636" s="223" t="s">
        <v>281</v>
      </c>
      <c r="B636" s="223">
        <v>21</v>
      </c>
      <c r="C636" s="223">
        <v>34</v>
      </c>
      <c r="D636" s="223">
        <v>2</v>
      </c>
      <c r="E636" s="223">
        <v>48479</v>
      </c>
    </row>
    <row r="637" spans="1:5" ht="15">
      <c r="A637" s="223" t="s">
        <v>281</v>
      </c>
      <c r="B637" s="223">
        <v>21</v>
      </c>
      <c r="C637" s="223">
        <v>34</v>
      </c>
      <c r="D637" s="223">
        <v>4</v>
      </c>
      <c r="E637" s="223">
        <v>11137</v>
      </c>
    </row>
    <row r="638" spans="1:5" ht="15">
      <c r="A638" s="223" t="s">
        <v>281</v>
      </c>
      <c r="B638" s="223">
        <v>23</v>
      </c>
      <c r="C638" s="223">
        <v>27</v>
      </c>
      <c r="D638" s="223">
        <v>3</v>
      </c>
      <c r="E638" s="223">
        <v>348464</v>
      </c>
    </row>
    <row r="639" spans="1:5" ht="15">
      <c r="A639" s="223" t="s">
        <v>281</v>
      </c>
      <c r="B639" s="223">
        <v>23</v>
      </c>
      <c r="C639" s="223">
        <v>27</v>
      </c>
      <c r="D639" s="223">
        <v>4</v>
      </c>
      <c r="E639" s="223">
        <v>207418</v>
      </c>
    </row>
    <row r="640" spans="1:5" ht="15">
      <c r="A640" s="223" t="s">
        <v>281</v>
      </c>
      <c r="B640" s="223">
        <v>24</v>
      </c>
      <c r="C640" s="223">
        <v>27</v>
      </c>
      <c r="D640" s="223">
        <v>3</v>
      </c>
      <c r="E640" s="223">
        <v>1596480</v>
      </c>
    </row>
    <row r="641" spans="1:5" ht="15">
      <c r="A641" s="223" t="s">
        <v>281</v>
      </c>
      <c r="B641" s="223">
        <v>24</v>
      </c>
      <c r="C641" s="223">
        <v>27</v>
      </c>
      <c r="D641" s="223">
        <v>4</v>
      </c>
      <c r="E641" s="223">
        <v>939937</v>
      </c>
    </row>
    <row r="642" spans="1:5" ht="15">
      <c r="A642" s="223" t="s">
        <v>281</v>
      </c>
      <c r="B642" s="223">
        <v>29</v>
      </c>
      <c r="C642" s="223">
        <v>27</v>
      </c>
      <c r="D642" s="223">
        <v>2</v>
      </c>
      <c r="E642" s="223">
        <v>318362</v>
      </c>
    </row>
    <row r="643" spans="1:5" ht="15">
      <c r="A643" s="223" t="s">
        <v>281</v>
      </c>
      <c r="B643" s="223">
        <v>29</v>
      </c>
      <c r="C643" s="223">
        <v>27</v>
      </c>
      <c r="D643" s="223">
        <v>3</v>
      </c>
      <c r="E643" s="223">
        <v>126961</v>
      </c>
    </row>
    <row r="644" spans="1:5" ht="15">
      <c r="A644" s="223" t="s">
        <v>281</v>
      </c>
      <c r="B644" s="223">
        <v>29</v>
      </c>
      <c r="C644" s="223">
        <v>27</v>
      </c>
      <c r="D644" s="223">
        <v>4</v>
      </c>
      <c r="E644" s="223">
        <v>252896</v>
      </c>
    </row>
    <row r="645" spans="1:5" ht="15">
      <c r="A645" s="223" t="s">
        <v>281</v>
      </c>
      <c r="B645" s="223">
        <v>29</v>
      </c>
      <c r="C645" s="223">
        <v>31</v>
      </c>
      <c r="D645" s="223">
        <v>2</v>
      </c>
      <c r="E645" s="223">
        <v>1448</v>
      </c>
    </row>
    <row r="646" spans="1:5" ht="15">
      <c r="A646" s="223" t="s">
        <v>281</v>
      </c>
      <c r="B646" s="223">
        <v>29</v>
      </c>
      <c r="C646" s="223">
        <v>31</v>
      </c>
      <c r="D646" s="223">
        <v>4</v>
      </c>
      <c r="E646" s="223">
        <v>333</v>
      </c>
    </row>
    <row r="647" spans="1:5" ht="15">
      <c r="A647" s="223" t="s">
        <v>283</v>
      </c>
      <c r="B647" s="223">
        <v>21</v>
      </c>
      <c r="C647" s="223">
        <v>21</v>
      </c>
      <c r="D647" s="223">
        <v>2</v>
      </c>
      <c r="E647" s="223">
        <v>297916</v>
      </c>
    </row>
    <row r="648" spans="1:5" ht="15">
      <c r="A648" s="223" t="s">
        <v>283</v>
      </c>
      <c r="B648" s="223">
        <v>21</v>
      </c>
      <c r="C648" s="223">
        <v>21</v>
      </c>
      <c r="D648" s="223">
        <v>3</v>
      </c>
      <c r="E648" s="223">
        <v>265859</v>
      </c>
    </row>
    <row r="649" spans="1:5" ht="15">
      <c r="A649" s="223" t="s">
        <v>283</v>
      </c>
      <c r="B649" s="223">
        <v>21</v>
      </c>
      <c r="C649" s="223">
        <v>21</v>
      </c>
      <c r="D649" s="223">
        <v>4</v>
      </c>
      <c r="E649" s="223">
        <v>202479</v>
      </c>
    </row>
    <row r="650" spans="1:5" ht="15">
      <c r="A650" s="223" t="s">
        <v>283</v>
      </c>
      <c r="B650" s="223">
        <v>21</v>
      </c>
      <c r="C650" s="223">
        <v>21</v>
      </c>
      <c r="D650" s="223">
        <v>5</v>
      </c>
      <c r="E650" s="223">
        <v>5000</v>
      </c>
    </row>
    <row r="651" spans="1:5" ht="15">
      <c r="A651" s="223" t="s">
        <v>283</v>
      </c>
      <c r="B651" s="223">
        <v>21</v>
      </c>
      <c r="C651" s="223">
        <v>21</v>
      </c>
      <c r="D651" s="223">
        <v>7</v>
      </c>
      <c r="E651" s="223">
        <v>27500</v>
      </c>
    </row>
    <row r="652" spans="1:5" ht="15">
      <c r="A652" s="223" t="s">
        <v>283</v>
      </c>
      <c r="B652" s="223">
        <v>21</v>
      </c>
      <c r="C652" s="223">
        <v>24</v>
      </c>
      <c r="D652" s="223">
        <v>2</v>
      </c>
      <c r="E652" s="223">
        <v>46519</v>
      </c>
    </row>
    <row r="653" spans="1:5" ht="15">
      <c r="A653" s="223" t="s">
        <v>283</v>
      </c>
      <c r="B653" s="223">
        <v>21</v>
      </c>
      <c r="C653" s="223">
        <v>24</v>
      </c>
      <c r="D653" s="223">
        <v>4</v>
      </c>
      <c r="E653" s="223">
        <v>16595</v>
      </c>
    </row>
    <row r="654" spans="1:5" ht="15">
      <c r="A654" s="223" t="s">
        <v>283</v>
      </c>
      <c r="B654" s="223">
        <v>21</v>
      </c>
      <c r="C654" s="223">
        <v>25</v>
      </c>
      <c r="D654" s="223">
        <v>2</v>
      </c>
      <c r="E654" s="223">
        <v>40</v>
      </c>
    </row>
    <row r="655" spans="1:5" ht="15">
      <c r="A655" s="223" t="s">
        <v>283</v>
      </c>
      <c r="B655" s="223">
        <v>21</v>
      </c>
      <c r="C655" s="223">
        <v>25</v>
      </c>
      <c r="D655" s="223">
        <v>3</v>
      </c>
      <c r="E655" s="223">
        <v>425294</v>
      </c>
    </row>
    <row r="656" spans="1:5" ht="15">
      <c r="A656" s="223" t="s">
        <v>283</v>
      </c>
      <c r="B656" s="223">
        <v>21</v>
      </c>
      <c r="C656" s="223">
        <v>25</v>
      </c>
      <c r="D656" s="223">
        <v>4</v>
      </c>
      <c r="E656" s="223">
        <v>312975</v>
      </c>
    </row>
    <row r="657" spans="1:5" ht="15">
      <c r="A657" s="223" t="s">
        <v>283</v>
      </c>
      <c r="B657" s="223">
        <v>21</v>
      </c>
      <c r="C657" s="223">
        <v>26</v>
      </c>
      <c r="D657" s="223">
        <v>2</v>
      </c>
      <c r="E657" s="223">
        <v>5049032</v>
      </c>
    </row>
    <row r="658" spans="1:5" ht="15">
      <c r="A658" s="223" t="s">
        <v>283</v>
      </c>
      <c r="B658" s="223">
        <v>21</v>
      </c>
      <c r="C658" s="223">
        <v>26</v>
      </c>
      <c r="D658" s="223">
        <v>3</v>
      </c>
      <c r="E658" s="223">
        <v>43915</v>
      </c>
    </row>
    <row r="659" spans="1:5" ht="15">
      <c r="A659" s="223" t="s">
        <v>283</v>
      </c>
      <c r="B659" s="223">
        <v>21</v>
      </c>
      <c r="C659" s="223">
        <v>26</v>
      </c>
      <c r="D659" s="223">
        <v>4</v>
      </c>
      <c r="E659" s="223">
        <v>1942539</v>
      </c>
    </row>
    <row r="660" spans="1:5" ht="15">
      <c r="A660" s="223" t="s">
        <v>283</v>
      </c>
      <c r="B660" s="223">
        <v>21</v>
      </c>
      <c r="C660" s="223">
        <v>26</v>
      </c>
      <c r="D660" s="223">
        <v>5</v>
      </c>
      <c r="E660" s="223">
        <v>35000</v>
      </c>
    </row>
    <row r="661" spans="1:5" ht="15">
      <c r="A661" s="223" t="s">
        <v>283</v>
      </c>
      <c r="B661" s="223">
        <v>21</v>
      </c>
      <c r="C661" s="223">
        <v>26</v>
      </c>
      <c r="D661" s="223">
        <v>7</v>
      </c>
      <c r="E661" s="223">
        <v>20000</v>
      </c>
    </row>
    <row r="662" spans="1:5" ht="15">
      <c r="A662" s="223" t="s">
        <v>283</v>
      </c>
      <c r="B662" s="223">
        <v>21</v>
      </c>
      <c r="C662" s="223">
        <v>27</v>
      </c>
      <c r="D662" s="223">
        <v>2</v>
      </c>
      <c r="E662" s="223">
        <v>8265832</v>
      </c>
    </row>
    <row r="663" spans="1:5" ht="15">
      <c r="A663" s="223" t="s">
        <v>283</v>
      </c>
      <c r="B663" s="223">
        <v>21</v>
      </c>
      <c r="C663" s="223">
        <v>27</v>
      </c>
      <c r="D663" s="223">
        <v>3</v>
      </c>
      <c r="E663" s="223">
        <v>6654976</v>
      </c>
    </row>
    <row r="664" spans="1:5" ht="15">
      <c r="A664" s="223" t="s">
        <v>283</v>
      </c>
      <c r="B664" s="223">
        <v>21</v>
      </c>
      <c r="C664" s="223">
        <v>27</v>
      </c>
      <c r="D664" s="223">
        <v>4</v>
      </c>
      <c r="E664" s="223">
        <v>7463716</v>
      </c>
    </row>
    <row r="665" spans="1:5" ht="15">
      <c r="A665" s="223" t="s">
        <v>283</v>
      </c>
      <c r="B665" s="223">
        <v>21</v>
      </c>
      <c r="C665" s="223">
        <v>27</v>
      </c>
      <c r="D665" s="223">
        <v>5</v>
      </c>
      <c r="E665" s="223">
        <v>50000</v>
      </c>
    </row>
    <row r="666" spans="1:5" ht="15">
      <c r="A666" s="223" t="s">
        <v>283</v>
      </c>
      <c r="B666" s="223">
        <v>21</v>
      </c>
      <c r="C666" s="223">
        <v>27</v>
      </c>
      <c r="D666" s="223">
        <v>7</v>
      </c>
      <c r="E666" s="223">
        <v>50000</v>
      </c>
    </row>
    <row r="667" spans="1:5" ht="15">
      <c r="A667" s="223" t="s">
        <v>283</v>
      </c>
      <c r="B667" s="223">
        <v>21</v>
      </c>
      <c r="C667" s="223">
        <v>27</v>
      </c>
      <c r="D667" s="223">
        <v>8</v>
      </c>
      <c r="E667" s="223">
        <v>10000</v>
      </c>
    </row>
    <row r="668" spans="1:5" ht="15">
      <c r="A668" s="223" t="s">
        <v>283</v>
      </c>
      <c r="B668" s="223">
        <v>21</v>
      </c>
      <c r="C668" s="223">
        <v>31</v>
      </c>
      <c r="D668" s="223">
        <v>2</v>
      </c>
      <c r="E668" s="223">
        <v>10915</v>
      </c>
    </row>
    <row r="669" spans="1:5" ht="15">
      <c r="A669" s="223" t="s">
        <v>283</v>
      </c>
      <c r="B669" s="223">
        <v>21</v>
      </c>
      <c r="C669" s="223">
        <v>31</v>
      </c>
      <c r="D669" s="223">
        <v>3</v>
      </c>
      <c r="E669" s="223">
        <v>4616</v>
      </c>
    </row>
    <row r="670" spans="1:5" ht="15">
      <c r="A670" s="223" t="s">
        <v>283</v>
      </c>
      <c r="B670" s="223">
        <v>21</v>
      </c>
      <c r="C670" s="223">
        <v>31</v>
      </c>
      <c r="D670" s="223">
        <v>4</v>
      </c>
      <c r="E670" s="223">
        <v>3271</v>
      </c>
    </row>
    <row r="671" spans="1:5" ht="15">
      <c r="A671" s="223" t="s">
        <v>283</v>
      </c>
      <c r="B671" s="223">
        <v>21</v>
      </c>
      <c r="C671" s="223">
        <v>32</v>
      </c>
      <c r="D671" s="223">
        <v>5</v>
      </c>
      <c r="E671" s="223">
        <v>5000</v>
      </c>
    </row>
    <row r="672" spans="1:5" ht="15">
      <c r="A672" s="223" t="s">
        <v>283</v>
      </c>
      <c r="B672" s="223">
        <v>21</v>
      </c>
      <c r="C672" s="223">
        <v>34</v>
      </c>
      <c r="D672" s="223">
        <v>2</v>
      </c>
      <c r="E672" s="223">
        <v>95800</v>
      </c>
    </row>
    <row r="673" spans="1:5" ht="15">
      <c r="A673" s="223" t="s">
        <v>283</v>
      </c>
      <c r="B673" s="223">
        <v>21</v>
      </c>
      <c r="C673" s="223">
        <v>34</v>
      </c>
      <c r="D673" s="223">
        <v>4</v>
      </c>
      <c r="E673" s="223">
        <v>35529</v>
      </c>
    </row>
    <row r="674" spans="1:5" ht="15">
      <c r="A674" s="223" t="s">
        <v>283</v>
      </c>
      <c r="B674" s="223">
        <v>24</v>
      </c>
      <c r="C674" s="223">
        <v>24</v>
      </c>
      <c r="D674" s="223">
        <v>2</v>
      </c>
      <c r="E674" s="223">
        <v>180001</v>
      </c>
    </row>
    <row r="675" spans="1:5" ht="15">
      <c r="A675" s="223" t="s">
        <v>283</v>
      </c>
      <c r="B675" s="223">
        <v>24</v>
      </c>
      <c r="C675" s="223">
        <v>24</v>
      </c>
      <c r="D675" s="223">
        <v>4</v>
      </c>
      <c r="E675" s="223">
        <v>60290</v>
      </c>
    </row>
    <row r="676" spans="1:5" ht="15">
      <c r="A676" s="223" t="s">
        <v>283</v>
      </c>
      <c r="B676" s="223">
        <v>24</v>
      </c>
      <c r="C676" s="223">
        <v>27</v>
      </c>
      <c r="D676" s="223">
        <v>2</v>
      </c>
      <c r="E676" s="223">
        <v>1828594</v>
      </c>
    </row>
    <row r="677" spans="1:5" ht="15">
      <c r="A677" s="223" t="s">
        <v>283</v>
      </c>
      <c r="B677" s="223">
        <v>24</v>
      </c>
      <c r="C677" s="223">
        <v>27</v>
      </c>
      <c r="D677" s="223">
        <v>4</v>
      </c>
      <c r="E677" s="223">
        <v>652872</v>
      </c>
    </row>
    <row r="678" spans="1:5" ht="15">
      <c r="A678" s="223" t="s">
        <v>283</v>
      </c>
      <c r="B678" s="223">
        <v>24</v>
      </c>
      <c r="C678" s="223">
        <v>27</v>
      </c>
      <c r="D678" s="223">
        <v>7</v>
      </c>
      <c r="E678" s="223">
        <v>16388</v>
      </c>
    </row>
    <row r="679" spans="1:5" ht="15">
      <c r="A679" s="223" t="s">
        <v>283</v>
      </c>
      <c r="B679" s="223">
        <v>24</v>
      </c>
      <c r="C679" s="223">
        <v>31</v>
      </c>
      <c r="D679" s="223">
        <v>2</v>
      </c>
      <c r="E679" s="223">
        <v>14972</v>
      </c>
    </row>
    <row r="680" spans="1:5" ht="15">
      <c r="A680" s="223" t="s">
        <v>283</v>
      </c>
      <c r="B680" s="223">
        <v>24</v>
      </c>
      <c r="C680" s="223">
        <v>31</v>
      </c>
      <c r="D680" s="223">
        <v>4</v>
      </c>
      <c r="E680" s="223">
        <v>5056</v>
      </c>
    </row>
    <row r="681" spans="1:5" ht="15">
      <c r="A681" s="223" t="s">
        <v>283</v>
      </c>
      <c r="B681" s="223">
        <v>24</v>
      </c>
      <c r="C681" s="223">
        <v>31</v>
      </c>
      <c r="D681" s="223">
        <v>7</v>
      </c>
      <c r="E681" s="223">
        <v>1744</v>
      </c>
    </row>
    <row r="682" spans="1:5" ht="15">
      <c r="A682" s="223" t="s">
        <v>283</v>
      </c>
      <c r="B682" s="223">
        <v>24</v>
      </c>
      <c r="C682" s="223">
        <v>31</v>
      </c>
      <c r="D682" s="223">
        <v>8</v>
      </c>
      <c r="E682" s="223">
        <v>3100</v>
      </c>
    </row>
    <row r="683" spans="1:5" ht="15">
      <c r="A683" s="223" t="s">
        <v>285</v>
      </c>
      <c r="B683" s="223">
        <v>21</v>
      </c>
      <c r="C683" s="223">
        <v>21</v>
      </c>
      <c r="D683" s="223">
        <v>2</v>
      </c>
      <c r="E683" s="223">
        <v>168196</v>
      </c>
    </row>
    <row r="684" spans="1:5" ht="15">
      <c r="A684" s="223" t="s">
        <v>285</v>
      </c>
      <c r="B684" s="223">
        <v>21</v>
      </c>
      <c r="C684" s="223">
        <v>21</v>
      </c>
      <c r="D684" s="223">
        <v>3</v>
      </c>
      <c r="E684" s="223">
        <v>58344</v>
      </c>
    </row>
    <row r="685" spans="1:5" ht="15">
      <c r="A685" s="223" t="s">
        <v>285</v>
      </c>
      <c r="B685" s="223">
        <v>21</v>
      </c>
      <c r="C685" s="223">
        <v>21</v>
      </c>
      <c r="D685" s="223">
        <v>4</v>
      </c>
      <c r="E685" s="223">
        <v>73972</v>
      </c>
    </row>
    <row r="686" spans="1:5" ht="15">
      <c r="A686" s="223" t="s">
        <v>285</v>
      </c>
      <c r="B686" s="223">
        <v>21</v>
      </c>
      <c r="C686" s="223">
        <v>21</v>
      </c>
      <c r="D686" s="223">
        <v>5</v>
      </c>
      <c r="E686" s="223">
        <v>750</v>
      </c>
    </row>
    <row r="687" spans="1:5" ht="15">
      <c r="A687" s="223" t="s">
        <v>285</v>
      </c>
      <c r="B687" s="223">
        <v>21</v>
      </c>
      <c r="C687" s="223">
        <v>21</v>
      </c>
      <c r="D687" s="223">
        <v>7</v>
      </c>
      <c r="E687" s="223">
        <v>250</v>
      </c>
    </row>
    <row r="688" spans="1:5" ht="15">
      <c r="A688" s="223" t="s">
        <v>285</v>
      </c>
      <c r="B688" s="223">
        <v>21</v>
      </c>
      <c r="C688" s="223">
        <v>21</v>
      </c>
      <c r="D688" s="223">
        <v>8</v>
      </c>
      <c r="E688" s="223">
        <v>500</v>
      </c>
    </row>
    <row r="689" spans="1:5" ht="15">
      <c r="A689" s="223" t="s">
        <v>285</v>
      </c>
      <c r="B689" s="223">
        <v>21</v>
      </c>
      <c r="C689" s="223">
        <v>25</v>
      </c>
      <c r="D689" s="223">
        <v>3</v>
      </c>
      <c r="E689" s="223">
        <v>104167</v>
      </c>
    </row>
    <row r="690" spans="1:5" ht="15">
      <c r="A690" s="223" t="s">
        <v>285</v>
      </c>
      <c r="B690" s="223">
        <v>21</v>
      </c>
      <c r="C690" s="223">
        <v>25</v>
      </c>
      <c r="D690" s="223">
        <v>4</v>
      </c>
      <c r="E690" s="223">
        <v>87235</v>
      </c>
    </row>
    <row r="691" spans="1:5" ht="15">
      <c r="A691" s="223" t="s">
        <v>285</v>
      </c>
      <c r="B691" s="223">
        <v>21</v>
      </c>
      <c r="C691" s="223">
        <v>26</v>
      </c>
      <c r="D691" s="223">
        <v>2</v>
      </c>
      <c r="E691" s="223">
        <v>828783</v>
      </c>
    </row>
    <row r="692" spans="1:5" ht="15">
      <c r="A692" s="223" t="s">
        <v>285</v>
      </c>
      <c r="B692" s="223">
        <v>21</v>
      </c>
      <c r="C692" s="223">
        <v>26</v>
      </c>
      <c r="D692" s="223">
        <v>3</v>
      </c>
      <c r="E692" s="223">
        <v>22292</v>
      </c>
    </row>
    <row r="693" spans="1:5" ht="15">
      <c r="A693" s="223" t="s">
        <v>285</v>
      </c>
      <c r="B693" s="223">
        <v>21</v>
      </c>
      <c r="C693" s="223">
        <v>26</v>
      </c>
      <c r="D693" s="223">
        <v>4</v>
      </c>
      <c r="E693" s="223">
        <v>299397</v>
      </c>
    </row>
    <row r="694" spans="1:5" ht="15">
      <c r="A694" s="223" t="s">
        <v>285</v>
      </c>
      <c r="B694" s="223">
        <v>21</v>
      </c>
      <c r="C694" s="223">
        <v>26</v>
      </c>
      <c r="D694" s="223">
        <v>5</v>
      </c>
      <c r="E694" s="223">
        <v>750</v>
      </c>
    </row>
    <row r="695" spans="1:5" ht="15">
      <c r="A695" s="223" t="s">
        <v>285</v>
      </c>
      <c r="B695" s="223">
        <v>21</v>
      </c>
      <c r="C695" s="223">
        <v>26</v>
      </c>
      <c r="D695" s="223">
        <v>7</v>
      </c>
      <c r="E695" s="223">
        <v>1288036</v>
      </c>
    </row>
    <row r="696" spans="1:5" ht="15">
      <c r="A696" s="223" t="s">
        <v>285</v>
      </c>
      <c r="B696" s="223">
        <v>21</v>
      </c>
      <c r="C696" s="223">
        <v>26</v>
      </c>
      <c r="D696" s="223">
        <v>8</v>
      </c>
      <c r="E696" s="223">
        <v>300</v>
      </c>
    </row>
    <row r="697" spans="1:5" ht="15">
      <c r="A697" s="223" t="s">
        <v>285</v>
      </c>
      <c r="B697" s="223">
        <v>21</v>
      </c>
      <c r="C697" s="223">
        <v>27</v>
      </c>
      <c r="D697" s="223">
        <v>2</v>
      </c>
      <c r="E697" s="223">
        <v>1782387</v>
      </c>
    </row>
    <row r="698" spans="1:5" ht="15">
      <c r="A698" s="223" t="s">
        <v>285</v>
      </c>
      <c r="B698" s="223">
        <v>21</v>
      </c>
      <c r="C698" s="223">
        <v>27</v>
      </c>
      <c r="D698" s="223">
        <v>3</v>
      </c>
      <c r="E698" s="223">
        <v>621772</v>
      </c>
    </row>
    <row r="699" spans="1:5" ht="15">
      <c r="A699" s="223" t="s">
        <v>285</v>
      </c>
      <c r="B699" s="223">
        <v>21</v>
      </c>
      <c r="C699" s="223">
        <v>27</v>
      </c>
      <c r="D699" s="223">
        <v>4</v>
      </c>
      <c r="E699" s="223">
        <v>1114775</v>
      </c>
    </row>
    <row r="700" spans="1:5" ht="15">
      <c r="A700" s="223" t="s">
        <v>285</v>
      </c>
      <c r="B700" s="223">
        <v>21</v>
      </c>
      <c r="C700" s="223">
        <v>27</v>
      </c>
      <c r="D700" s="223">
        <v>5</v>
      </c>
      <c r="E700" s="223">
        <v>150</v>
      </c>
    </row>
    <row r="701" spans="1:5" ht="15">
      <c r="A701" s="223" t="s">
        <v>285</v>
      </c>
      <c r="B701" s="223">
        <v>21</v>
      </c>
      <c r="C701" s="223">
        <v>27</v>
      </c>
      <c r="D701" s="223">
        <v>7</v>
      </c>
      <c r="E701" s="223">
        <v>357130</v>
      </c>
    </row>
    <row r="702" spans="1:5" ht="15">
      <c r="A702" s="223" t="s">
        <v>285</v>
      </c>
      <c r="B702" s="223">
        <v>21</v>
      </c>
      <c r="C702" s="223">
        <v>29</v>
      </c>
      <c r="D702" s="223">
        <v>7</v>
      </c>
      <c r="E702" s="223">
        <v>292347</v>
      </c>
    </row>
    <row r="703" spans="1:5" ht="15">
      <c r="A703" s="223" t="s">
        <v>285</v>
      </c>
      <c r="B703" s="223">
        <v>21</v>
      </c>
      <c r="C703" s="223">
        <v>31</v>
      </c>
      <c r="D703" s="223">
        <v>2</v>
      </c>
      <c r="E703" s="223">
        <v>42006</v>
      </c>
    </row>
    <row r="704" spans="1:5" ht="15">
      <c r="A704" s="223" t="s">
        <v>285</v>
      </c>
      <c r="B704" s="223">
        <v>21</v>
      </c>
      <c r="C704" s="223">
        <v>31</v>
      </c>
      <c r="D704" s="223">
        <v>4</v>
      </c>
      <c r="E704" s="223">
        <v>9933</v>
      </c>
    </row>
    <row r="705" spans="1:5" ht="15">
      <c r="A705" s="223" t="s">
        <v>285</v>
      </c>
      <c r="B705" s="223">
        <v>21</v>
      </c>
      <c r="C705" s="223">
        <v>31</v>
      </c>
      <c r="D705" s="223">
        <v>7</v>
      </c>
      <c r="E705" s="223">
        <v>1500</v>
      </c>
    </row>
    <row r="706" spans="1:5" ht="15">
      <c r="A706" s="223" t="s">
        <v>285</v>
      </c>
      <c r="B706" s="223">
        <v>21</v>
      </c>
      <c r="C706" s="223">
        <v>31</v>
      </c>
      <c r="D706" s="223">
        <v>8</v>
      </c>
      <c r="E706" s="223">
        <v>750</v>
      </c>
    </row>
    <row r="707" spans="1:5" ht="15">
      <c r="A707" s="223" t="s">
        <v>285</v>
      </c>
      <c r="B707" s="223">
        <v>21</v>
      </c>
      <c r="C707" s="223">
        <v>32</v>
      </c>
      <c r="D707" s="223">
        <v>5</v>
      </c>
      <c r="E707" s="223">
        <v>7500</v>
      </c>
    </row>
    <row r="708" spans="1:5" ht="15">
      <c r="A708" s="223" t="s">
        <v>285</v>
      </c>
      <c r="B708" s="223">
        <v>21</v>
      </c>
      <c r="C708" s="223">
        <v>34</v>
      </c>
      <c r="D708" s="223">
        <v>2</v>
      </c>
      <c r="E708" s="223">
        <v>42006</v>
      </c>
    </row>
    <row r="709" spans="1:5" ht="15">
      <c r="A709" s="223" t="s">
        <v>285</v>
      </c>
      <c r="B709" s="223">
        <v>21</v>
      </c>
      <c r="C709" s="223">
        <v>34</v>
      </c>
      <c r="D709" s="223">
        <v>4</v>
      </c>
      <c r="E709" s="223">
        <v>9933</v>
      </c>
    </row>
    <row r="710" spans="1:5" ht="15">
      <c r="A710" s="223" t="s">
        <v>285</v>
      </c>
      <c r="B710" s="223">
        <v>24</v>
      </c>
      <c r="C710" s="223">
        <v>27</v>
      </c>
      <c r="D710" s="223">
        <v>3</v>
      </c>
      <c r="E710" s="223">
        <v>452701</v>
      </c>
    </row>
    <row r="711" spans="1:5" ht="15">
      <c r="A711" s="223" t="s">
        <v>285</v>
      </c>
      <c r="B711" s="223">
        <v>24</v>
      </c>
      <c r="C711" s="223">
        <v>27</v>
      </c>
      <c r="D711" s="223">
        <v>4</v>
      </c>
      <c r="E711" s="223">
        <v>287020</v>
      </c>
    </row>
    <row r="712" spans="1:5" ht="15">
      <c r="A712" s="223" t="s">
        <v>285</v>
      </c>
      <c r="B712" s="223">
        <v>24</v>
      </c>
      <c r="C712" s="223">
        <v>27</v>
      </c>
      <c r="D712" s="223">
        <v>5</v>
      </c>
      <c r="E712" s="223">
        <v>9632</v>
      </c>
    </row>
    <row r="713" spans="1:5" ht="15">
      <c r="A713" s="223" t="s">
        <v>285</v>
      </c>
      <c r="B713" s="223">
        <v>24</v>
      </c>
      <c r="C713" s="223">
        <v>27</v>
      </c>
      <c r="D713" s="223">
        <v>7</v>
      </c>
      <c r="E713" s="223">
        <v>105144</v>
      </c>
    </row>
    <row r="714" spans="1:5" ht="15">
      <c r="A714" s="223" t="s">
        <v>287</v>
      </c>
      <c r="B714" s="223">
        <v>21</v>
      </c>
      <c r="C714" s="223">
        <v>21</v>
      </c>
      <c r="D714" s="223">
        <v>2</v>
      </c>
      <c r="E714" s="223">
        <v>241744</v>
      </c>
    </row>
    <row r="715" spans="1:5" ht="15">
      <c r="A715" s="223" t="s">
        <v>287</v>
      </c>
      <c r="B715" s="223">
        <v>21</v>
      </c>
      <c r="C715" s="223">
        <v>21</v>
      </c>
      <c r="D715" s="223">
        <v>3</v>
      </c>
      <c r="E715" s="223">
        <v>69541</v>
      </c>
    </row>
    <row r="716" spans="1:5" ht="15">
      <c r="A716" s="223" t="s">
        <v>287</v>
      </c>
      <c r="B716" s="223">
        <v>21</v>
      </c>
      <c r="C716" s="223">
        <v>21</v>
      </c>
      <c r="D716" s="223">
        <v>4</v>
      </c>
      <c r="E716" s="223">
        <v>124074</v>
      </c>
    </row>
    <row r="717" spans="1:5" ht="15">
      <c r="A717" s="223" t="s">
        <v>287</v>
      </c>
      <c r="B717" s="223">
        <v>21</v>
      </c>
      <c r="C717" s="223">
        <v>21</v>
      </c>
      <c r="D717" s="223">
        <v>5</v>
      </c>
      <c r="E717" s="223">
        <v>3915</v>
      </c>
    </row>
    <row r="718" spans="1:5" ht="15">
      <c r="A718" s="223" t="s">
        <v>287</v>
      </c>
      <c r="B718" s="223">
        <v>21</v>
      </c>
      <c r="C718" s="223">
        <v>21</v>
      </c>
      <c r="D718" s="223">
        <v>7</v>
      </c>
      <c r="E718" s="223">
        <v>21100</v>
      </c>
    </row>
    <row r="719" spans="1:5" ht="15">
      <c r="A719" s="223" t="s">
        <v>287</v>
      </c>
      <c r="B719" s="223">
        <v>21</v>
      </c>
      <c r="C719" s="223">
        <v>21</v>
      </c>
      <c r="D719" s="223">
        <v>8</v>
      </c>
      <c r="E719" s="223">
        <v>750</v>
      </c>
    </row>
    <row r="720" spans="1:5" ht="15">
      <c r="A720" s="223" t="s">
        <v>287</v>
      </c>
      <c r="B720" s="223">
        <v>21</v>
      </c>
      <c r="C720" s="223">
        <v>25</v>
      </c>
      <c r="D720" s="223">
        <v>3</v>
      </c>
      <c r="E720" s="223">
        <v>42292</v>
      </c>
    </row>
    <row r="721" spans="1:5" ht="15">
      <c r="A721" s="223" t="s">
        <v>287</v>
      </c>
      <c r="B721" s="223">
        <v>21</v>
      </c>
      <c r="C721" s="223">
        <v>25</v>
      </c>
      <c r="D721" s="223">
        <v>4</v>
      </c>
      <c r="E721" s="223">
        <v>36036</v>
      </c>
    </row>
    <row r="722" spans="1:5" ht="15">
      <c r="A722" s="223" t="s">
        <v>287</v>
      </c>
      <c r="B722" s="223">
        <v>21</v>
      </c>
      <c r="C722" s="223">
        <v>26</v>
      </c>
      <c r="D722" s="223">
        <v>2</v>
      </c>
      <c r="E722" s="223">
        <v>409554</v>
      </c>
    </row>
    <row r="723" spans="1:5" ht="15">
      <c r="A723" s="223" t="s">
        <v>287</v>
      </c>
      <c r="B723" s="223">
        <v>21</v>
      </c>
      <c r="C723" s="223">
        <v>26</v>
      </c>
      <c r="D723" s="223">
        <v>3</v>
      </c>
      <c r="E723" s="223">
        <v>109358</v>
      </c>
    </row>
    <row r="724" spans="1:5" ht="15">
      <c r="A724" s="223" t="s">
        <v>287</v>
      </c>
      <c r="B724" s="223">
        <v>21</v>
      </c>
      <c r="C724" s="223">
        <v>26</v>
      </c>
      <c r="D724" s="223">
        <v>4</v>
      </c>
      <c r="E724" s="223">
        <v>215603</v>
      </c>
    </row>
    <row r="725" spans="1:5" ht="15">
      <c r="A725" s="223" t="s">
        <v>287</v>
      </c>
      <c r="B725" s="223">
        <v>21</v>
      </c>
      <c r="C725" s="223">
        <v>26</v>
      </c>
      <c r="D725" s="223">
        <v>5</v>
      </c>
      <c r="E725" s="223">
        <v>11200</v>
      </c>
    </row>
    <row r="726" spans="1:5" ht="15">
      <c r="A726" s="223" t="s">
        <v>287</v>
      </c>
      <c r="B726" s="223">
        <v>21</v>
      </c>
      <c r="C726" s="223">
        <v>26</v>
      </c>
      <c r="D726" s="223">
        <v>7</v>
      </c>
      <c r="E726" s="223">
        <v>517156</v>
      </c>
    </row>
    <row r="727" spans="1:5" ht="15">
      <c r="A727" s="223" t="s">
        <v>287</v>
      </c>
      <c r="B727" s="223">
        <v>21</v>
      </c>
      <c r="C727" s="223">
        <v>26</v>
      </c>
      <c r="D727" s="223">
        <v>8</v>
      </c>
      <c r="E727" s="223">
        <v>900</v>
      </c>
    </row>
    <row r="728" spans="1:5" ht="15">
      <c r="A728" s="223" t="s">
        <v>287</v>
      </c>
      <c r="B728" s="223">
        <v>21</v>
      </c>
      <c r="C728" s="223">
        <v>27</v>
      </c>
      <c r="D728" s="223">
        <v>0</v>
      </c>
      <c r="E728" s="223">
        <v>2800</v>
      </c>
    </row>
    <row r="729" spans="1:5" ht="15">
      <c r="A729" s="223" t="s">
        <v>287</v>
      </c>
      <c r="B729" s="223">
        <v>21</v>
      </c>
      <c r="C729" s="223">
        <v>27</v>
      </c>
      <c r="D729" s="223">
        <v>2</v>
      </c>
      <c r="E729" s="223">
        <v>2170938</v>
      </c>
    </row>
    <row r="730" spans="1:5" ht="15">
      <c r="A730" s="223" t="s">
        <v>287</v>
      </c>
      <c r="B730" s="223">
        <v>21</v>
      </c>
      <c r="C730" s="223">
        <v>27</v>
      </c>
      <c r="D730" s="223">
        <v>3</v>
      </c>
      <c r="E730" s="223">
        <v>1003867</v>
      </c>
    </row>
    <row r="731" spans="1:5" ht="15">
      <c r="A731" s="223" t="s">
        <v>287</v>
      </c>
      <c r="B731" s="223">
        <v>21</v>
      </c>
      <c r="C731" s="223">
        <v>27</v>
      </c>
      <c r="D731" s="223">
        <v>4</v>
      </c>
      <c r="E731" s="223">
        <v>1439025</v>
      </c>
    </row>
    <row r="732" spans="1:5" ht="15">
      <c r="A732" s="223" t="s">
        <v>287</v>
      </c>
      <c r="B732" s="223">
        <v>21</v>
      </c>
      <c r="C732" s="223">
        <v>27</v>
      </c>
      <c r="D732" s="223">
        <v>5</v>
      </c>
      <c r="E732" s="223">
        <v>4400</v>
      </c>
    </row>
    <row r="733" spans="1:5" ht="15">
      <c r="A733" s="223" t="s">
        <v>287</v>
      </c>
      <c r="B733" s="223">
        <v>21</v>
      </c>
      <c r="C733" s="223">
        <v>27</v>
      </c>
      <c r="D733" s="223">
        <v>7</v>
      </c>
      <c r="E733" s="223">
        <v>6900</v>
      </c>
    </row>
    <row r="734" spans="1:5" ht="15">
      <c r="A734" s="223" t="s">
        <v>287</v>
      </c>
      <c r="B734" s="223">
        <v>21</v>
      </c>
      <c r="C734" s="223">
        <v>27</v>
      </c>
      <c r="D734" s="223">
        <v>8</v>
      </c>
      <c r="E734" s="223">
        <v>1900</v>
      </c>
    </row>
    <row r="735" spans="1:5" ht="15">
      <c r="A735" s="223" t="s">
        <v>287</v>
      </c>
      <c r="B735" s="223">
        <v>21</v>
      </c>
      <c r="C735" s="223">
        <v>27</v>
      </c>
      <c r="D735" s="223">
        <v>9</v>
      </c>
      <c r="E735" s="223">
        <v>14299</v>
      </c>
    </row>
    <row r="736" spans="1:5" ht="15">
      <c r="A736" s="223" t="s">
        <v>287</v>
      </c>
      <c r="B736" s="223">
        <v>21</v>
      </c>
      <c r="C736" s="223">
        <v>31</v>
      </c>
      <c r="D736" s="223">
        <v>2</v>
      </c>
      <c r="E736" s="223">
        <v>57047</v>
      </c>
    </row>
    <row r="737" spans="1:5" ht="15">
      <c r="A737" s="223" t="s">
        <v>287</v>
      </c>
      <c r="B737" s="223">
        <v>21</v>
      </c>
      <c r="C737" s="223">
        <v>31</v>
      </c>
      <c r="D737" s="223">
        <v>4</v>
      </c>
      <c r="E737" s="223">
        <v>13340</v>
      </c>
    </row>
    <row r="738" spans="1:5" ht="15">
      <c r="A738" s="223" t="s">
        <v>287</v>
      </c>
      <c r="B738" s="223">
        <v>21</v>
      </c>
      <c r="C738" s="223">
        <v>31</v>
      </c>
      <c r="D738" s="223">
        <v>7</v>
      </c>
      <c r="E738" s="223">
        <v>1000</v>
      </c>
    </row>
    <row r="739" spans="1:5" ht="15">
      <c r="A739" s="223" t="s">
        <v>287</v>
      </c>
      <c r="B739" s="223">
        <v>21</v>
      </c>
      <c r="C739" s="223">
        <v>34</v>
      </c>
      <c r="D739" s="223">
        <v>2</v>
      </c>
      <c r="E739" s="223">
        <v>26355</v>
      </c>
    </row>
    <row r="740" spans="1:5" ht="15">
      <c r="A740" s="223" t="s">
        <v>287</v>
      </c>
      <c r="B740" s="223">
        <v>21</v>
      </c>
      <c r="C740" s="223">
        <v>34</v>
      </c>
      <c r="D740" s="223">
        <v>4</v>
      </c>
      <c r="E740" s="223">
        <v>6162</v>
      </c>
    </row>
    <row r="741" spans="1:5" ht="15">
      <c r="A741" s="223" t="s">
        <v>287</v>
      </c>
      <c r="B741" s="223">
        <v>24</v>
      </c>
      <c r="C741" s="223">
        <v>27</v>
      </c>
      <c r="D741" s="223">
        <v>3</v>
      </c>
      <c r="E741" s="223">
        <v>363767</v>
      </c>
    </row>
    <row r="742" spans="1:5" ht="15">
      <c r="A742" s="223" t="s">
        <v>287</v>
      </c>
      <c r="B742" s="223">
        <v>24</v>
      </c>
      <c r="C742" s="223">
        <v>27</v>
      </c>
      <c r="D742" s="223">
        <v>4</v>
      </c>
      <c r="E742" s="223">
        <v>247188</v>
      </c>
    </row>
    <row r="743" spans="1:5" ht="15">
      <c r="A743" s="223" t="s">
        <v>289</v>
      </c>
      <c r="B743" s="223">
        <v>21</v>
      </c>
      <c r="C743" s="223">
        <v>21</v>
      </c>
      <c r="D743" s="223">
        <v>2</v>
      </c>
      <c r="E743" s="223">
        <v>283750</v>
      </c>
    </row>
    <row r="744" spans="1:5" ht="15">
      <c r="A744" s="223" t="s">
        <v>289</v>
      </c>
      <c r="B744" s="223">
        <v>21</v>
      </c>
      <c r="C744" s="223">
        <v>21</v>
      </c>
      <c r="D744" s="223">
        <v>3</v>
      </c>
      <c r="E744" s="223">
        <v>126744</v>
      </c>
    </row>
    <row r="745" spans="1:5" ht="15">
      <c r="A745" s="223" t="s">
        <v>289</v>
      </c>
      <c r="B745" s="223">
        <v>21</v>
      </c>
      <c r="C745" s="223">
        <v>21</v>
      </c>
      <c r="D745" s="223">
        <v>4</v>
      </c>
      <c r="E745" s="223">
        <v>156562</v>
      </c>
    </row>
    <row r="746" spans="1:5" ht="15">
      <c r="A746" s="223" t="s">
        <v>289</v>
      </c>
      <c r="B746" s="223">
        <v>21</v>
      </c>
      <c r="C746" s="223">
        <v>21</v>
      </c>
      <c r="D746" s="223">
        <v>5</v>
      </c>
      <c r="E746" s="223">
        <v>2500</v>
      </c>
    </row>
    <row r="747" spans="1:5" ht="15">
      <c r="A747" s="223" t="s">
        <v>289</v>
      </c>
      <c r="B747" s="223">
        <v>21</v>
      </c>
      <c r="C747" s="223">
        <v>21</v>
      </c>
      <c r="D747" s="223">
        <v>7</v>
      </c>
      <c r="E747" s="223">
        <v>3000</v>
      </c>
    </row>
    <row r="748" spans="1:5" ht="15">
      <c r="A748" s="223" t="s">
        <v>289</v>
      </c>
      <c r="B748" s="223">
        <v>21</v>
      </c>
      <c r="C748" s="223">
        <v>21</v>
      </c>
      <c r="D748" s="223">
        <v>8</v>
      </c>
      <c r="E748" s="223">
        <v>1000</v>
      </c>
    </row>
    <row r="749" spans="1:5" ht="15">
      <c r="A749" s="223" t="s">
        <v>289</v>
      </c>
      <c r="B749" s="223">
        <v>21</v>
      </c>
      <c r="C749" s="223">
        <v>24</v>
      </c>
      <c r="D749" s="223">
        <v>2</v>
      </c>
      <c r="E749" s="223">
        <v>70531</v>
      </c>
    </row>
    <row r="750" spans="1:5" ht="15">
      <c r="A750" s="223" t="s">
        <v>289</v>
      </c>
      <c r="B750" s="223">
        <v>21</v>
      </c>
      <c r="C750" s="223">
        <v>24</v>
      </c>
      <c r="D750" s="223">
        <v>4</v>
      </c>
      <c r="E750" s="223">
        <v>58719</v>
      </c>
    </row>
    <row r="751" spans="1:5" ht="15">
      <c r="A751" s="223" t="s">
        <v>289</v>
      </c>
      <c r="B751" s="223">
        <v>21</v>
      </c>
      <c r="C751" s="223">
        <v>25</v>
      </c>
      <c r="D751" s="223">
        <v>3</v>
      </c>
      <c r="E751" s="223">
        <v>128488</v>
      </c>
    </row>
    <row r="752" spans="1:5" ht="15">
      <c r="A752" s="223" t="s">
        <v>289</v>
      </c>
      <c r="B752" s="223">
        <v>21</v>
      </c>
      <c r="C752" s="223">
        <v>25</v>
      </c>
      <c r="D752" s="223">
        <v>4</v>
      </c>
      <c r="E752" s="223">
        <v>111283</v>
      </c>
    </row>
    <row r="753" spans="1:5" ht="15">
      <c r="A753" s="223" t="s">
        <v>289</v>
      </c>
      <c r="B753" s="223">
        <v>21</v>
      </c>
      <c r="C753" s="223">
        <v>26</v>
      </c>
      <c r="D753" s="223">
        <v>2</v>
      </c>
      <c r="E753" s="223">
        <v>2000058</v>
      </c>
    </row>
    <row r="754" spans="1:5" ht="15">
      <c r="A754" s="223" t="s">
        <v>289</v>
      </c>
      <c r="B754" s="223">
        <v>21</v>
      </c>
      <c r="C754" s="223">
        <v>26</v>
      </c>
      <c r="D754" s="223">
        <v>4</v>
      </c>
      <c r="E754" s="223">
        <v>736785</v>
      </c>
    </row>
    <row r="755" spans="1:5" ht="15">
      <c r="A755" s="223" t="s">
        <v>289</v>
      </c>
      <c r="B755" s="223">
        <v>21</v>
      </c>
      <c r="C755" s="223">
        <v>26</v>
      </c>
      <c r="D755" s="223">
        <v>5</v>
      </c>
      <c r="E755" s="223">
        <v>6000</v>
      </c>
    </row>
    <row r="756" spans="1:5" ht="15">
      <c r="A756" s="223" t="s">
        <v>289</v>
      </c>
      <c r="B756" s="223">
        <v>21</v>
      </c>
      <c r="C756" s="223">
        <v>26</v>
      </c>
      <c r="D756" s="223">
        <v>7</v>
      </c>
      <c r="E756" s="223">
        <v>200000</v>
      </c>
    </row>
    <row r="757" spans="1:5" ht="15">
      <c r="A757" s="223" t="s">
        <v>289</v>
      </c>
      <c r="B757" s="223">
        <v>21</v>
      </c>
      <c r="C757" s="223">
        <v>26</v>
      </c>
      <c r="D757" s="223">
        <v>8</v>
      </c>
      <c r="E757" s="223">
        <v>2700</v>
      </c>
    </row>
    <row r="758" spans="1:5" ht="15">
      <c r="A758" s="223" t="s">
        <v>289</v>
      </c>
      <c r="B758" s="223">
        <v>21</v>
      </c>
      <c r="C758" s="223">
        <v>27</v>
      </c>
      <c r="D758" s="223">
        <v>0</v>
      </c>
      <c r="E758" s="223">
        <v>5500</v>
      </c>
    </row>
    <row r="759" spans="1:5" ht="15">
      <c r="A759" s="223" t="s">
        <v>289</v>
      </c>
      <c r="B759" s="223">
        <v>21</v>
      </c>
      <c r="C759" s="223">
        <v>27</v>
      </c>
      <c r="D759" s="223">
        <v>2</v>
      </c>
      <c r="E759" s="223">
        <v>2743719</v>
      </c>
    </row>
    <row r="760" spans="1:5" ht="15">
      <c r="A760" s="223" t="s">
        <v>289</v>
      </c>
      <c r="B760" s="223">
        <v>21</v>
      </c>
      <c r="C760" s="223">
        <v>27</v>
      </c>
      <c r="D760" s="223">
        <v>3</v>
      </c>
      <c r="E760" s="223">
        <v>1681528</v>
      </c>
    </row>
    <row r="761" spans="1:5" ht="15">
      <c r="A761" s="223" t="s">
        <v>289</v>
      </c>
      <c r="B761" s="223">
        <v>21</v>
      </c>
      <c r="C761" s="223">
        <v>27</v>
      </c>
      <c r="D761" s="223">
        <v>4</v>
      </c>
      <c r="E761" s="223">
        <v>2117178</v>
      </c>
    </row>
    <row r="762" spans="1:5" ht="15">
      <c r="A762" s="223" t="s">
        <v>289</v>
      </c>
      <c r="B762" s="223">
        <v>21</v>
      </c>
      <c r="C762" s="223">
        <v>27</v>
      </c>
      <c r="D762" s="223">
        <v>5</v>
      </c>
      <c r="E762" s="223">
        <v>13812</v>
      </c>
    </row>
    <row r="763" spans="1:5" ht="15">
      <c r="A763" s="223" t="s">
        <v>289</v>
      </c>
      <c r="B763" s="223">
        <v>21</v>
      </c>
      <c r="C763" s="223">
        <v>27</v>
      </c>
      <c r="D763" s="223">
        <v>7</v>
      </c>
      <c r="E763" s="223">
        <v>293000</v>
      </c>
    </row>
    <row r="764" spans="1:5" ht="15">
      <c r="A764" s="223" t="s">
        <v>289</v>
      </c>
      <c r="B764" s="223">
        <v>21</v>
      </c>
      <c r="C764" s="223">
        <v>27</v>
      </c>
      <c r="D764" s="223">
        <v>8</v>
      </c>
      <c r="E764" s="223">
        <v>1500</v>
      </c>
    </row>
    <row r="765" spans="1:5" ht="15">
      <c r="A765" s="223" t="s">
        <v>289</v>
      </c>
      <c r="B765" s="223">
        <v>21</v>
      </c>
      <c r="C765" s="223">
        <v>31</v>
      </c>
      <c r="D765" s="223">
        <v>2</v>
      </c>
      <c r="E765" s="223">
        <v>56785</v>
      </c>
    </row>
    <row r="766" spans="1:5" ht="15">
      <c r="A766" s="223" t="s">
        <v>289</v>
      </c>
      <c r="B766" s="223">
        <v>21</v>
      </c>
      <c r="C766" s="223">
        <v>31</v>
      </c>
      <c r="D766" s="223">
        <v>4</v>
      </c>
      <c r="E766" s="223">
        <v>12967</v>
      </c>
    </row>
    <row r="767" spans="1:5" ht="15">
      <c r="A767" s="223" t="s">
        <v>289</v>
      </c>
      <c r="B767" s="223">
        <v>21</v>
      </c>
      <c r="C767" s="223">
        <v>34</v>
      </c>
      <c r="D767" s="223">
        <v>2</v>
      </c>
      <c r="E767" s="223">
        <v>78079</v>
      </c>
    </row>
    <row r="768" spans="1:5" ht="15">
      <c r="A768" s="223" t="s">
        <v>289</v>
      </c>
      <c r="B768" s="223">
        <v>21</v>
      </c>
      <c r="C768" s="223">
        <v>34</v>
      </c>
      <c r="D768" s="223">
        <v>4</v>
      </c>
      <c r="E768" s="223">
        <v>18214</v>
      </c>
    </row>
    <row r="769" spans="1:5" ht="15">
      <c r="A769" s="223" t="s">
        <v>289</v>
      </c>
      <c r="B769" s="223">
        <v>24</v>
      </c>
      <c r="C769" s="223">
        <v>27</v>
      </c>
      <c r="D769" s="223">
        <v>2</v>
      </c>
      <c r="E769" s="223">
        <v>764204</v>
      </c>
    </row>
    <row r="770" spans="1:5" ht="15">
      <c r="A770" s="223" t="s">
        <v>289</v>
      </c>
      <c r="B770" s="223">
        <v>24</v>
      </c>
      <c r="C770" s="223">
        <v>27</v>
      </c>
      <c r="D770" s="223">
        <v>4</v>
      </c>
      <c r="E770" s="223">
        <v>254942</v>
      </c>
    </row>
    <row r="771" spans="1:5" ht="15">
      <c r="A771" s="223" t="s">
        <v>289</v>
      </c>
      <c r="B771" s="223">
        <v>24</v>
      </c>
      <c r="C771" s="223">
        <v>31</v>
      </c>
      <c r="D771" s="223">
        <v>2</v>
      </c>
      <c r="E771" s="223">
        <v>17102</v>
      </c>
    </row>
    <row r="772" spans="1:5" ht="15">
      <c r="A772" s="223" t="s">
        <v>289</v>
      </c>
      <c r="B772" s="223">
        <v>24</v>
      </c>
      <c r="C772" s="223">
        <v>31</v>
      </c>
      <c r="D772" s="223">
        <v>4</v>
      </c>
      <c r="E772" s="223">
        <v>3884</v>
      </c>
    </row>
    <row r="773" spans="1:5" ht="15">
      <c r="A773" s="223" t="s">
        <v>291</v>
      </c>
      <c r="B773" s="223">
        <v>21</v>
      </c>
      <c r="C773" s="223">
        <v>21</v>
      </c>
      <c r="D773" s="223">
        <v>2</v>
      </c>
      <c r="E773" s="223">
        <v>49081</v>
      </c>
    </row>
    <row r="774" spans="1:5" ht="15">
      <c r="A774" s="223" t="s">
        <v>291</v>
      </c>
      <c r="B774" s="223">
        <v>21</v>
      </c>
      <c r="C774" s="223">
        <v>21</v>
      </c>
      <c r="D774" s="223">
        <v>3</v>
      </c>
      <c r="E774" s="223">
        <v>30036</v>
      </c>
    </row>
    <row r="775" spans="1:5" ht="15">
      <c r="A775" s="223" t="s">
        <v>291</v>
      </c>
      <c r="B775" s="223">
        <v>21</v>
      </c>
      <c r="C775" s="223">
        <v>21</v>
      </c>
      <c r="D775" s="223">
        <v>4</v>
      </c>
      <c r="E775" s="223">
        <v>40357</v>
      </c>
    </row>
    <row r="776" spans="1:5" ht="15">
      <c r="A776" s="223" t="s">
        <v>291</v>
      </c>
      <c r="B776" s="223">
        <v>21</v>
      </c>
      <c r="C776" s="223">
        <v>26</v>
      </c>
      <c r="D776" s="223">
        <v>2</v>
      </c>
      <c r="E776" s="223">
        <v>160767</v>
      </c>
    </row>
    <row r="777" spans="1:5" ht="15">
      <c r="A777" s="223" t="s">
        <v>291</v>
      </c>
      <c r="B777" s="223">
        <v>21</v>
      </c>
      <c r="C777" s="223">
        <v>26</v>
      </c>
      <c r="D777" s="223">
        <v>4</v>
      </c>
      <c r="E777" s="223">
        <v>61888</v>
      </c>
    </row>
    <row r="778" spans="1:5" ht="15">
      <c r="A778" s="223" t="s">
        <v>291</v>
      </c>
      <c r="B778" s="223">
        <v>21</v>
      </c>
      <c r="C778" s="223">
        <v>26</v>
      </c>
      <c r="D778" s="223">
        <v>5</v>
      </c>
      <c r="E778" s="223">
        <v>600</v>
      </c>
    </row>
    <row r="779" spans="1:5" ht="15">
      <c r="A779" s="223" t="s">
        <v>291</v>
      </c>
      <c r="B779" s="223">
        <v>21</v>
      </c>
      <c r="C779" s="223">
        <v>26</v>
      </c>
      <c r="D779" s="223">
        <v>7</v>
      </c>
      <c r="E779" s="223">
        <v>82500</v>
      </c>
    </row>
    <row r="780" spans="1:5" ht="15">
      <c r="A780" s="223" t="s">
        <v>291</v>
      </c>
      <c r="B780" s="223">
        <v>21</v>
      </c>
      <c r="C780" s="223">
        <v>27</v>
      </c>
      <c r="D780" s="223">
        <v>2</v>
      </c>
      <c r="E780" s="223">
        <v>197411</v>
      </c>
    </row>
    <row r="781" spans="1:5" ht="15">
      <c r="A781" s="223" t="s">
        <v>291</v>
      </c>
      <c r="B781" s="223">
        <v>21</v>
      </c>
      <c r="C781" s="223">
        <v>27</v>
      </c>
      <c r="D781" s="223">
        <v>3</v>
      </c>
      <c r="E781" s="223">
        <v>370066</v>
      </c>
    </row>
    <row r="782" spans="1:5" ht="15">
      <c r="A782" s="223" t="s">
        <v>291</v>
      </c>
      <c r="B782" s="223">
        <v>21</v>
      </c>
      <c r="C782" s="223">
        <v>27</v>
      </c>
      <c r="D782" s="223">
        <v>4</v>
      </c>
      <c r="E782" s="223">
        <v>318057</v>
      </c>
    </row>
    <row r="783" spans="1:5" ht="15">
      <c r="A783" s="223" t="s">
        <v>291</v>
      </c>
      <c r="B783" s="223">
        <v>21</v>
      </c>
      <c r="C783" s="223">
        <v>27</v>
      </c>
      <c r="D783" s="223">
        <v>7</v>
      </c>
      <c r="E783" s="223">
        <v>500</v>
      </c>
    </row>
    <row r="784" spans="1:5" ht="15">
      <c r="A784" s="223" t="s">
        <v>291</v>
      </c>
      <c r="B784" s="223">
        <v>21</v>
      </c>
      <c r="C784" s="223">
        <v>27</v>
      </c>
      <c r="D784" s="223">
        <v>8</v>
      </c>
      <c r="E784" s="223">
        <v>500</v>
      </c>
    </row>
    <row r="785" spans="1:5" ht="15">
      <c r="A785" s="223" t="s">
        <v>291</v>
      </c>
      <c r="B785" s="223">
        <v>21</v>
      </c>
      <c r="C785" s="223">
        <v>32</v>
      </c>
      <c r="D785" s="223">
        <v>3</v>
      </c>
      <c r="E785" s="223">
        <v>6541</v>
      </c>
    </row>
    <row r="786" spans="1:5" ht="15">
      <c r="A786" s="223" t="s">
        <v>291</v>
      </c>
      <c r="B786" s="223">
        <v>21</v>
      </c>
      <c r="C786" s="223">
        <v>32</v>
      </c>
      <c r="D786" s="223">
        <v>4</v>
      </c>
      <c r="E786" s="223">
        <v>2616</v>
      </c>
    </row>
    <row r="787" spans="1:5" ht="15">
      <c r="A787" s="223" t="s">
        <v>291</v>
      </c>
      <c r="B787" s="223">
        <v>21</v>
      </c>
      <c r="C787" s="223">
        <v>34</v>
      </c>
      <c r="D787" s="223">
        <v>2</v>
      </c>
      <c r="E787" s="223">
        <v>8240</v>
      </c>
    </row>
    <row r="788" spans="1:5" ht="15">
      <c r="A788" s="223" t="s">
        <v>291</v>
      </c>
      <c r="B788" s="223">
        <v>21</v>
      </c>
      <c r="C788" s="223">
        <v>34</v>
      </c>
      <c r="D788" s="223">
        <v>4</v>
      </c>
      <c r="E788" s="223">
        <v>1960</v>
      </c>
    </row>
    <row r="789" spans="1:5" ht="15">
      <c r="A789" s="223" t="s">
        <v>291</v>
      </c>
      <c r="B789" s="223">
        <v>23</v>
      </c>
      <c r="C789" s="223">
        <v>27</v>
      </c>
      <c r="D789" s="223">
        <v>5</v>
      </c>
      <c r="E789" s="223">
        <v>12437</v>
      </c>
    </row>
    <row r="790" spans="1:5" ht="15">
      <c r="A790" s="223" t="s">
        <v>291</v>
      </c>
      <c r="B790" s="223">
        <v>23</v>
      </c>
      <c r="C790" s="223">
        <v>31</v>
      </c>
      <c r="D790" s="223">
        <v>7</v>
      </c>
      <c r="E790" s="223">
        <v>732</v>
      </c>
    </row>
    <row r="791" spans="1:5" ht="15">
      <c r="A791" s="223" t="s">
        <v>291</v>
      </c>
      <c r="B791" s="223">
        <v>24</v>
      </c>
      <c r="C791" s="223">
        <v>27</v>
      </c>
      <c r="D791" s="223">
        <v>2</v>
      </c>
      <c r="E791" s="223">
        <v>134946</v>
      </c>
    </row>
    <row r="792" spans="1:5" ht="15">
      <c r="A792" s="223" t="s">
        <v>291</v>
      </c>
      <c r="B792" s="223">
        <v>24</v>
      </c>
      <c r="C792" s="223">
        <v>27</v>
      </c>
      <c r="D792" s="223">
        <v>4</v>
      </c>
      <c r="E792" s="223">
        <v>51761</v>
      </c>
    </row>
    <row r="793" spans="1:5" ht="15">
      <c r="A793" s="223" t="s">
        <v>291</v>
      </c>
      <c r="B793" s="223">
        <v>24</v>
      </c>
      <c r="C793" s="223">
        <v>27</v>
      </c>
      <c r="D793" s="223">
        <v>5</v>
      </c>
      <c r="E793" s="223">
        <v>332</v>
      </c>
    </row>
    <row r="794" spans="1:5" ht="15">
      <c r="A794" s="223" t="s">
        <v>19</v>
      </c>
      <c r="B794" s="223">
        <v>21</v>
      </c>
      <c r="C794" s="223">
        <v>21</v>
      </c>
      <c r="D794" s="223">
        <v>2</v>
      </c>
      <c r="E794" s="223">
        <v>47625</v>
      </c>
    </row>
    <row r="795" spans="1:5" ht="15">
      <c r="A795" s="223" t="s">
        <v>19</v>
      </c>
      <c r="B795" s="223">
        <v>21</v>
      </c>
      <c r="C795" s="223">
        <v>21</v>
      </c>
      <c r="D795" s="223">
        <v>3</v>
      </c>
      <c r="E795" s="223">
        <v>27426</v>
      </c>
    </row>
    <row r="796" spans="1:5" ht="15">
      <c r="A796" s="223" t="s">
        <v>19</v>
      </c>
      <c r="B796" s="223">
        <v>21</v>
      </c>
      <c r="C796" s="223">
        <v>21</v>
      </c>
      <c r="D796" s="223">
        <v>4</v>
      </c>
      <c r="E796" s="223">
        <v>29298</v>
      </c>
    </row>
    <row r="797" spans="1:5" ht="15">
      <c r="A797" s="223" t="s">
        <v>19</v>
      </c>
      <c r="B797" s="223">
        <v>21</v>
      </c>
      <c r="C797" s="223">
        <v>21</v>
      </c>
      <c r="D797" s="223">
        <v>5</v>
      </c>
      <c r="E797" s="223">
        <v>1600</v>
      </c>
    </row>
    <row r="798" spans="1:5" ht="15">
      <c r="A798" s="223" t="s">
        <v>19</v>
      </c>
      <c r="B798" s="223">
        <v>21</v>
      </c>
      <c r="C798" s="223">
        <v>21</v>
      </c>
      <c r="D798" s="223">
        <v>7</v>
      </c>
      <c r="E798" s="223">
        <v>2500</v>
      </c>
    </row>
    <row r="799" spans="1:5" ht="15">
      <c r="A799" s="223" t="s">
        <v>19</v>
      </c>
      <c r="B799" s="223">
        <v>21</v>
      </c>
      <c r="C799" s="223">
        <v>21</v>
      </c>
      <c r="D799" s="223">
        <v>8</v>
      </c>
      <c r="E799" s="223">
        <v>1000</v>
      </c>
    </row>
    <row r="800" spans="1:5" ht="15">
      <c r="A800" s="223" t="s">
        <v>19</v>
      </c>
      <c r="B800" s="223">
        <v>21</v>
      </c>
      <c r="C800" s="223">
        <v>25</v>
      </c>
      <c r="D800" s="223">
        <v>3</v>
      </c>
      <c r="E800" s="223">
        <v>15061</v>
      </c>
    </row>
    <row r="801" spans="1:5" ht="15">
      <c r="A801" s="223" t="s">
        <v>19</v>
      </c>
      <c r="B801" s="223">
        <v>21</v>
      </c>
      <c r="C801" s="223">
        <v>25</v>
      </c>
      <c r="D801" s="223">
        <v>4</v>
      </c>
      <c r="E801" s="223">
        <v>10275</v>
      </c>
    </row>
    <row r="802" spans="1:5" ht="15">
      <c r="A802" s="223" t="s">
        <v>19</v>
      </c>
      <c r="B802" s="223">
        <v>21</v>
      </c>
      <c r="C802" s="223">
        <v>26</v>
      </c>
      <c r="D802" s="223">
        <v>2</v>
      </c>
      <c r="E802" s="223">
        <v>248119</v>
      </c>
    </row>
    <row r="803" spans="1:5" ht="15">
      <c r="A803" s="223" t="s">
        <v>19</v>
      </c>
      <c r="B803" s="223">
        <v>21</v>
      </c>
      <c r="C803" s="223">
        <v>26</v>
      </c>
      <c r="D803" s="223">
        <v>4</v>
      </c>
      <c r="E803" s="223">
        <v>94324</v>
      </c>
    </row>
    <row r="804" spans="1:5" ht="15">
      <c r="A804" s="223" t="s">
        <v>19</v>
      </c>
      <c r="B804" s="223">
        <v>21</v>
      </c>
      <c r="C804" s="223">
        <v>26</v>
      </c>
      <c r="D804" s="223">
        <v>5</v>
      </c>
      <c r="E804" s="223">
        <v>3700</v>
      </c>
    </row>
    <row r="805" spans="1:5" ht="15">
      <c r="A805" s="223" t="s">
        <v>19</v>
      </c>
      <c r="B805" s="223">
        <v>21</v>
      </c>
      <c r="C805" s="223">
        <v>26</v>
      </c>
      <c r="D805" s="223">
        <v>7</v>
      </c>
      <c r="E805" s="223">
        <v>193950</v>
      </c>
    </row>
    <row r="806" spans="1:5" ht="15">
      <c r="A806" s="223" t="s">
        <v>19</v>
      </c>
      <c r="B806" s="223">
        <v>21</v>
      </c>
      <c r="C806" s="223">
        <v>27</v>
      </c>
      <c r="D806" s="223">
        <v>2</v>
      </c>
      <c r="E806" s="223">
        <v>304795</v>
      </c>
    </row>
    <row r="807" spans="1:5" ht="15">
      <c r="A807" s="223" t="s">
        <v>19</v>
      </c>
      <c r="B807" s="223">
        <v>21</v>
      </c>
      <c r="C807" s="223">
        <v>27</v>
      </c>
      <c r="D807" s="223">
        <v>3</v>
      </c>
      <c r="E807" s="223">
        <v>486087</v>
      </c>
    </row>
    <row r="808" spans="1:5" ht="15">
      <c r="A808" s="223" t="s">
        <v>19</v>
      </c>
      <c r="B808" s="223">
        <v>21</v>
      </c>
      <c r="C808" s="223">
        <v>27</v>
      </c>
      <c r="D808" s="223">
        <v>4</v>
      </c>
      <c r="E808" s="223">
        <v>449603</v>
      </c>
    </row>
    <row r="809" spans="1:5" ht="15">
      <c r="A809" s="223" t="s">
        <v>19</v>
      </c>
      <c r="B809" s="223">
        <v>21</v>
      </c>
      <c r="C809" s="223">
        <v>27</v>
      </c>
      <c r="D809" s="223">
        <v>5</v>
      </c>
      <c r="E809" s="223">
        <v>12100</v>
      </c>
    </row>
    <row r="810" spans="1:5" ht="15">
      <c r="A810" s="223" t="s">
        <v>19</v>
      </c>
      <c r="B810" s="223">
        <v>21</v>
      </c>
      <c r="C810" s="223">
        <v>27</v>
      </c>
      <c r="D810" s="223">
        <v>7</v>
      </c>
      <c r="E810" s="223">
        <v>124176</v>
      </c>
    </row>
    <row r="811" spans="1:5" ht="15">
      <c r="A811" s="223" t="s">
        <v>19</v>
      </c>
      <c r="B811" s="223">
        <v>21</v>
      </c>
      <c r="C811" s="223">
        <v>27</v>
      </c>
      <c r="D811" s="223">
        <v>8</v>
      </c>
      <c r="E811" s="223">
        <v>1000</v>
      </c>
    </row>
    <row r="812" spans="1:5" ht="15">
      <c r="A812" s="223" t="s">
        <v>19</v>
      </c>
      <c r="B812" s="223">
        <v>21</v>
      </c>
      <c r="C812" s="223">
        <v>31</v>
      </c>
      <c r="D812" s="223">
        <v>2</v>
      </c>
      <c r="E812" s="223">
        <v>9502</v>
      </c>
    </row>
    <row r="813" spans="1:5" ht="15">
      <c r="A813" s="223" t="s">
        <v>19</v>
      </c>
      <c r="B813" s="223">
        <v>21</v>
      </c>
      <c r="C813" s="223">
        <v>31</v>
      </c>
      <c r="D813" s="223">
        <v>4</v>
      </c>
      <c r="E813" s="223">
        <v>4537</v>
      </c>
    </row>
    <row r="814" spans="1:5" ht="15">
      <c r="A814" s="223" t="s">
        <v>19</v>
      </c>
      <c r="B814" s="223">
        <v>21</v>
      </c>
      <c r="C814" s="223">
        <v>34</v>
      </c>
      <c r="D814" s="223">
        <v>2</v>
      </c>
      <c r="E814" s="223">
        <v>9502</v>
      </c>
    </row>
    <row r="815" spans="1:5" ht="15">
      <c r="A815" s="223" t="s">
        <v>19</v>
      </c>
      <c r="B815" s="223">
        <v>24</v>
      </c>
      <c r="C815" s="223">
        <v>27</v>
      </c>
      <c r="D815" s="223">
        <v>2</v>
      </c>
      <c r="E815" s="223">
        <v>157017</v>
      </c>
    </row>
    <row r="816" spans="1:5" ht="15">
      <c r="A816" s="223" t="s">
        <v>19</v>
      </c>
      <c r="B816" s="223">
        <v>24</v>
      </c>
      <c r="C816" s="223">
        <v>27</v>
      </c>
      <c r="D816" s="223">
        <v>3</v>
      </c>
      <c r="E816" s="223">
        <v>3507</v>
      </c>
    </row>
    <row r="817" spans="1:5" ht="15">
      <c r="A817" s="223" t="s">
        <v>19</v>
      </c>
      <c r="B817" s="223">
        <v>24</v>
      </c>
      <c r="C817" s="223">
        <v>27</v>
      </c>
      <c r="D817" s="223">
        <v>4</v>
      </c>
      <c r="E817" s="223">
        <v>59704</v>
      </c>
    </row>
    <row r="818" spans="1:5" ht="15">
      <c r="A818" s="223" t="s">
        <v>19</v>
      </c>
      <c r="B818" s="223">
        <v>24</v>
      </c>
      <c r="C818" s="223">
        <v>27</v>
      </c>
      <c r="D818" s="223">
        <v>7</v>
      </c>
      <c r="E818" s="223">
        <v>6397</v>
      </c>
    </row>
    <row r="819" spans="1:5" ht="15">
      <c r="A819" s="223" t="s">
        <v>19</v>
      </c>
      <c r="B819" s="223">
        <v>24</v>
      </c>
      <c r="C819" s="223">
        <v>31</v>
      </c>
      <c r="D819" s="223">
        <v>2</v>
      </c>
      <c r="E819" s="223">
        <v>5234</v>
      </c>
    </row>
    <row r="820" spans="1:5" ht="15">
      <c r="A820" s="223" t="s">
        <v>19</v>
      </c>
      <c r="B820" s="223">
        <v>24</v>
      </c>
      <c r="C820" s="223">
        <v>31</v>
      </c>
      <c r="D820" s="223">
        <v>4</v>
      </c>
      <c r="E820" s="223">
        <v>1207</v>
      </c>
    </row>
    <row r="821" spans="1:5" ht="15">
      <c r="A821" s="223" t="s">
        <v>21</v>
      </c>
      <c r="B821" s="223">
        <v>21</v>
      </c>
      <c r="C821" s="223">
        <v>21</v>
      </c>
      <c r="D821" s="223">
        <v>2</v>
      </c>
      <c r="E821" s="223">
        <v>107563</v>
      </c>
    </row>
    <row r="822" spans="1:5" ht="15">
      <c r="A822" s="223" t="s">
        <v>21</v>
      </c>
      <c r="B822" s="223">
        <v>21</v>
      </c>
      <c r="C822" s="223">
        <v>21</v>
      </c>
      <c r="D822" s="223">
        <v>3</v>
      </c>
      <c r="E822" s="223">
        <v>56927</v>
      </c>
    </row>
    <row r="823" spans="1:5" ht="15">
      <c r="A823" s="223" t="s">
        <v>21</v>
      </c>
      <c r="B823" s="223">
        <v>21</v>
      </c>
      <c r="C823" s="223">
        <v>21</v>
      </c>
      <c r="D823" s="223">
        <v>4</v>
      </c>
      <c r="E823" s="223">
        <v>54041</v>
      </c>
    </row>
    <row r="824" spans="1:5" ht="15">
      <c r="A824" s="223" t="s">
        <v>21</v>
      </c>
      <c r="B824" s="223">
        <v>21</v>
      </c>
      <c r="C824" s="223">
        <v>21</v>
      </c>
      <c r="D824" s="223">
        <v>5</v>
      </c>
      <c r="E824" s="223">
        <v>8500</v>
      </c>
    </row>
    <row r="825" spans="1:5" ht="15">
      <c r="A825" s="223" t="s">
        <v>21</v>
      </c>
      <c r="B825" s="223">
        <v>21</v>
      </c>
      <c r="C825" s="223">
        <v>21</v>
      </c>
      <c r="D825" s="223">
        <v>7</v>
      </c>
      <c r="E825" s="223">
        <v>1850</v>
      </c>
    </row>
    <row r="826" spans="1:5" ht="15">
      <c r="A826" s="223" t="s">
        <v>21</v>
      </c>
      <c r="B826" s="223">
        <v>21</v>
      </c>
      <c r="C826" s="223">
        <v>21</v>
      </c>
      <c r="D826" s="223">
        <v>8</v>
      </c>
      <c r="E826" s="223">
        <v>1000</v>
      </c>
    </row>
    <row r="827" spans="1:5" ht="15">
      <c r="A827" s="223" t="s">
        <v>21</v>
      </c>
      <c r="B827" s="223">
        <v>21</v>
      </c>
      <c r="C827" s="223">
        <v>26</v>
      </c>
      <c r="D827" s="223">
        <v>2</v>
      </c>
      <c r="E827" s="223">
        <v>886312</v>
      </c>
    </row>
    <row r="828" spans="1:5" ht="15">
      <c r="A828" s="223" t="s">
        <v>21</v>
      </c>
      <c r="B828" s="223">
        <v>21</v>
      </c>
      <c r="C828" s="223">
        <v>26</v>
      </c>
      <c r="D828" s="223">
        <v>4</v>
      </c>
      <c r="E828" s="223">
        <v>317094</v>
      </c>
    </row>
    <row r="829" spans="1:5" ht="15">
      <c r="A829" s="223" t="s">
        <v>21</v>
      </c>
      <c r="B829" s="223">
        <v>21</v>
      </c>
      <c r="C829" s="223">
        <v>26</v>
      </c>
      <c r="D829" s="223">
        <v>5</v>
      </c>
      <c r="E829" s="223">
        <v>3640</v>
      </c>
    </row>
    <row r="830" spans="1:5" ht="15">
      <c r="A830" s="223" t="s">
        <v>21</v>
      </c>
      <c r="B830" s="223">
        <v>21</v>
      </c>
      <c r="C830" s="223">
        <v>26</v>
      </c>
      <c r="D830" s="223">
        <v>7</v>
      </c>
      <c r="E830" s="223">
        <v>6500</v>
      </c>
    </row>
    <row r="831" spans="1:5" ht="15">
      <c r="A831" s="223" t="s">
        <v>21</v>
      </c>
      <c r="B831" s="223">
        <v>21</v>
      </c>
      <c r="C831" s="223">
        <v>26</v>
      </c>
      <c r="D831" s="223">
        <v>8</v>
      </c>
      <c r="E831" s="223">
        <v>800</v>
      </c>
    </row>
    <row r="832" spans="1:5" ht="15">
      <c r="A832" s="223" t="s">
        <v>21</v>
      </c>
      <c r="B832" s="223">
        <v>21</v>
      </c>
      <c r="C832" s="223">
        <v>27</v>
      </c>
      <c r="D832" s="223">
        <v>0</v>
      </c>
      <c r="E832" s="223">
        <v>2400</v>
      </c>
    </row>
    <row r="833" spans="1:5" ht="15">
      <c r="A833" s="223" t="s">
        <v>21</v>
      </c>
      <c r="B833" s="223">
        <v>21</v>
      </c>
      <c r="C833" s="223">
        <v>27</v>
      </c>
      <c r="D833" s="223">
        <v>2</v>
      </c>
      <c r="E833" s="223">
        <v>1136929</v>
      </c>
    </row>
    <row r="834" spans="1:5" ht="15">
      <c r="A834" s="223" t="s">
        <v>21</v>
      </c>
      <c r="B834" s="223">
        <v>21</v>
      </c>
      <c r="C834" s="223">
        <v>27</v>
      </c>
      <c r="D834" s="223">
        <v>3</v>
      </c>
      <c r="E834" s="223">
        <v>896243</v>
      </c>
    </row>
    <row r="835" spans="1:5" ht="15">
      <c r="A835" s="223" t="s">
        <v>21</v>
      </c>
      <c r="B835" s="223">
        <v>21</v>
      </c>
      <c r="C835" s="223">
        <v>27</v>
      </c>
      <c r="D835" s="223">
        <v>4</v>
      </c>
      <c r="E835" s="223">
        <v>913039</v>
      </c>
    </row>
    <row r="836" spans="1:5" ht="15">
      <c r="A836" s="223" t="s">
        <v>21</v>
      </c>
      <c r="B836" s="223">
        <v>21</v>
      </c>
      <c r="C836" s="223">
        <v>27</v>
      </c>
      <c r="D836" s="223">
        <v>5</v>
      </c>
      <c r="E836" s="223">
        <v>22700</v>
      </c>
    </row>
    <row r="837" spans="1:5" ht="15">
      <c r="A837" s="223" t="s">
        <v>21</v>
      </c>
      <c r="B837" s="223">
        <v>21</v>
      </c>
      <c r="C837" s="223">
        <v>27</v>
      </c>
      <c r="D837" s="223">
        <v>7</v>
      </c>
      <c r="E837" s="223">
        <v>155000</v>
      </c>
    </row>
    <row r="838" spans="1:5" ht="15">
      <c r="A838" s="223" t="s">
        <v>21</v>
      </c>
      <c r="B838" s="223">
        <v>21</v>
      </c>
      <c r="C838" s="223">
        <v>31</v>
      </c>
      <c r="D838" s="223">
        <v>2</v>
      </c>
      <c r="E838" s="223">
        <v>39878</v>
      </c>
    </row>
    <row r="839" spans="1:5" ht="15">
      <c r="A839" s="223" t="s">
        <v>21</v>
      </c>
      <c r="B839" s="223">
        <v>21</v>
      </c>
      <c r="C839" s="223">
        <v>31</v>
      </c>
      <c r="D839" s="223">
        <v>4</v>
      </c>
      <c r="E839" s="223">
        <v>1245</v>
      </c>
    </row>
    <row r="840" spans="1:5" ht="15">
      <c r="A840" s="223" t="s">
        <v>21</v>
      </c>
      <c r="B840" s="223">
        <v>21</v>
      </c>
      <c r="C840" s="223">
        <v>31</v>
      </c>
      <c r="D840" s="223">
        <v>5</v>
      </c>
      <c r="E840" s="223">
        <v>500</v>
      </c>
    </row>
    <row r="841" spans="1:5" ht="15">
      <c r="A841" s="223" t="s">
        <v>21</v>
      </c>
      <c r="B841" s="223">
        <v>21</v>
      </c>
      <c r="C841" s="223">
        <v>34</v>
      </c>
      <c r="D841" s="223">
        <v>2</v>
      </c>
      <c r="E841" s="223">
        <v>30643</v>
      </c>
    </row>
    <row r="842" spans="1:5" ht="15">
      <c r="A842" s="223" t="s">
        <v>21</v>
      </c>
      <c r="B842" s="223">
        <v>21</v>
      </c>
      <c r="C842" s="223">
        <v>34</v>
      </c>
      <c r="D842" s="223">
        <v>4</v>
      </c>
      <c r="E842" s="223">
        <v>957</v>
      </c>
    </row>
    <row r="843" spans="1:5" ht="15">
      <c r="A843" s="223" t="s">
        <v>21</v>
      </c>
      <c r="B843" s="223">
        <v>23</v>
      </c>
      <c r="C843" s="223">
        <v>27</v>
      </c>
      <c r="D843" s="223">
        <v>5</v>
      </c>
      <c r="E843" s="223">
        <v>123344</v>
      </c>
    </row>
    <row r="844" spans="1:5" ht="15">
      <c r="A844" s="223" t="s">
        <v>21</v>
      </c>
      <c r="B844" s="223">
        <v>24</v>
      </c>
      <c r="C844" s="223">
        <v>27</v>
      </c>
      <c r="D844" s="223">
        <v>2</v>
      </c>
      <c r="E844" s="223">
        <v>64348</v>
      </c>
    </row>
    <row r="845" spans="1:5" ht="15">
      <c r="A845" s="223" t="s">
        <v>21</v>
      </c>
      <c r="B845" s="223">
        <v>24</v>
      </c>
      <c r="C845" s="223">
        <v>27</v>
      </c>
      <c r="D845" s="223">
        <v>3</v>
      </c>
      <c r="E845" s="223">
        <v>394055</v>
      </c>
    </row>
    <row r="846" spans="1:5" ht="15">
      <c r="A846" s="223" t="s">
        <v>21</v>
      </c>
      <c r="B846" s="223">
        <v>24</v>
      </c>
      <c r="C846" s="223">
        <v>27</v>
      </c>
      <c r="D846" s="223">
        <v>4</v>
      </c>
      <c r="E846" s="223">
        <v>290001</v>
      </c>
    </row>
    <row r="847" spans="1:5" ht="15">
      <c r="A847" s="223" t="s">
        <v>21</v>
      </c>
      <c r="B847" s="223">
        <v>24</v>
      </c>
      <c r="C847" s="223">
        <v>27</v>
      </c>
      <c r="D847" s="223">
        <v>5</v>
      </c>
      <c r="E847" s="223">
        <v>22500</v>
      </c>
    </row>
    <row r="848" spans="1:5" ht="15">
      <c r="A848" s="223" t="s">
        <v>21</v>
      </c>
      <c r="B848" s="223">
        <v>24</v>
      </c>
      <c r="C848" s="223">
        <v>31</v>
      </c>
      <c r="D848" s="223">
        <v>2</v>
      </c>
      <c r="E848" s="223">
        <v>980</v>
      </c>
    </row>
    <row r="849" spans="1:5" ht="15">
      <c r="A849" s="223" t="s">
        <v>21</v>
      </c>
      <c r="B849" s="223">
        <v>24</v>
      </c>
      <c r="C849" s="223">
        <v>31</v>
      </c>
      <c r="D849" s="223">
        <v>4</v>
      </c>
      <c r="E849" s="223">
        <v>31</v>
      </c>
    </row>
    <row r="850" spans="1:5" ht="15">
      <c r="A850" s="223" t="s">
        <v>23</v>
      </c>
      <c r="B850" s="223">
        <v>21</v>
      </c>
      <c r="C850" s="223">
        <v>21</v>
      </c>
      <c r="D850" s="223">
        <v>2</v>
      </c>
      <c r="E850" s="223">
        <v>85629</v>
      </c>
    </row>
    <row r="851" spans="1:5" ht="15">
      <c r="A851" s="223" t="s">
        <v>23</v>
      </c>
      <c r="B851" s="223">
        <v>21</v>
      </c>
      <c r="C851" s="223">
        <v>21</v>
      </c>
      <c r="D851" s="223">
        <v>3</v>
      </c>
      <c r="E851" s="223">
        <v>18426</v>
      </c>
    </row>
    <row r="852" spans="1:5" ht="15">
      <c r="A852" s="223" t="s">
        <v>23</v>
      </c>
      <c r="B852" s="223">
        <v>21</v>
      </c>
      <c r="C852" s="223">
        <v>21</v>
      </c>
      <c r="D852" s="223">
        <v>4</v>
      </c>
      <c r="E852" s="223">
        <v>32960</v>
      </c>
    </row>
    <row r="853" spans="1:5" ht="15">
      <c r="A853" s="223" t="s">
        <v>23</v>
      </c>
      <c r="B853" s="223">
        <v>21</v>
      </c>
      <c r="C853" s="223">
        <v>21</v>
      </c>
      <c r="D853" s="223">
        <v>5</v>
      </c>
      <c r="E853" s="223">
        <v>400</v>
      </c>
    </row>
    <row r="854" spans="1:5" ht="15">
      <c r="A854" s="223" t="s">
        <v>23</v>
      </c>
      <c r="B854" s="223">
        <v>21</v>
      </c>
      <c r="C854" s="223">
        <v>21</v>
      </c>
      <c r="D854" s="223">
        <v>8</v>
      </c>
      <c r="E854" s="223">
        <v>500</v>
      </c>
    </row>
    <row r="855" spans="1:5" ht="15">
      <c r="A855" s="223" t="s">
        <v>23</v>
      </c>
      <c r="B855" s="223">
        <v>21</v>
      </c>
      <c r="C855" s="223">
        <v>23</v>
      </c>
      <c r="D855" s="223">
        <v>7</v>
      </c>
      <c r="E855" s="223">
        <v>2500</v>
      </c>
    </row>
    <row r="856" spans="1:5" ht="15">
      <c r="A856" s="223" t="s">
        <v>23</v>
      </c>
      <c r="B856" s="223">
        <v>21</v>
      </c>
      <c r="C856" s="223">
        <v>23</v>
      </c>
      <c r="D856" s="223">
        <v>8</v>
      </c>
      <c r="E856" s="223">
        <v>500</v>
      </c>
    </row>
    <row r="857" spans="1:5" ht="15">
      <c r="A857" s="223" t="s">
        <v>23</v>
      </c>
      <c r="B857" s="223">
        <v>21</v>
      </c>
      <c r="C857" s="223">
        <v>26</v>
      </c>
      <c r="D857" s="223">
        <v>2</v>
      </c>
      <c r="E857" s="223">
        <v>103834</v>
      </c>
    </row>
    <row r="858" spans="1:5" ht="15">
      <c r="A858" s="223" t="s">
        <v>23</v>
      </c>
      <c r="B858" s="223">
        <v>21</v>
      </c>
      <c r="C858" s="223">
        <v>26</v>
      </c>
      <c r="D858" s="223">
        <v>3</v>
      </c>
      <c r="E858" s="223">
        <v>61363</v>
      </c>
    </row>
    <row r="859" spans="1:5" ht="15">
      <c r="A859" s="223" t="s">
        <v>23</v>
      </c>
      <c r="B859" s="223">
        <v>21</v>
      </c>
      <c r="C859" s="223">
        <v>26</v>
      </c>
      <c r="D859" s="223">
        <v>4</v>
      </c>
      <c r="E859" s="223">
        <v>62589</v>
      </c>
    </row>
    <row r="860" spans="1:5" ht="15">
      <c r="A860" s="223" t="s">
        <v>23</v>
      </c>
      <c r="B860" s="223">
        <v>21</v>
      </c>
      <c r="C860" s="223">
        <v>26</v>
      </c>
      <c r="D860" s="223">
        <v>7</v>
      </c>
      <c r="E860" s="223">
        <v>75000</v>
      </c>
    </row>
    <row r="861" spans="1:5" ht="15">
      <c r="A861" s="223" t="s">
        <v>23</v>
      </c>
      <c r="B861" s="223">
        <v>21</v>
      </c>
      <c r="C861" s="223">
        <v>27</v>
      </c>
      <c r="D861" s="223">
        <v>2</v>
      </c>
      <c r="E861" s="223">
        <v>274136</v>
      </c>
    </row>
    <row r="862" spans="1:5" ht="15">
      <c r="A862" s="223" t="s">
        <v>23</v>
      </c>
      <c r="B862" s="223">
        <v>21</v>
      </c>
      <c r="C862" s="223">
        <v>27</v>
      </c>
      <c r="D862" s="223">
        <v>3</v>
      </c>
      <c r="E862" s="223">
        <v>190658</v>
      </c>
    </row>
    <row r="863" spans="1:5" ht="15">
      <c r="A863" s="223" t="s">
        <v>23</v>
      </c>
      <c r="B863" s="223">
        <v>21</v>
      </c>
      <c r="C863" s="223">
        <v>27</v>
      </c>
      <c r="D863" s="223">
        <v>4</v>
      </c>
      <c r="E863" s="223">
        <v>226936</v>
      </c>
    </row>
    <row r="864" spans="1:5" ht="15">
      <c r="A864" s="223" t="s">
        <v>23</v>
      </c>
      <c r="B864" s="223">
        <v>21</v>
      </c>
      <c r="C864" s="223">
        <v>27</v>
      </c>
      <c r="D864" s="223">
        <v>5</v>
      </c>
      <c r="E864" s="223">
        <v>85000</v>
      </c>
    </row>
    <row r="865" spans="1:5" ht="15">
      <c r="A865" s="223" t="s">
        <v>23</v>
      </c>
      <c r="B865" s="223">
        <v>21</v>
      </c>
      <c r="C865" s="223">
        <v>27</v>
      </c>
      <c r="D865" s="223">
        <v>7</v>
      </c>
      <c r="E865" s="223">
        <v>25000</v>
      </c>
    </row>
    <row r="866" spans="1:5" ht="15">
      <c r="A866" s="223" t="s">
        <v>23</v>
      </c>
      <c r="B866" s="223">
        <v>21</v>
      </c>
      <c r="C866" s="223">
        <v>31</v>
      </c>
      <c r="D866" s="223">
        <v>2</v>
      </c>
      <c r="E866" s="223">
        <v>4000</v>
      </c>
    </row>
    <row r="867" spans="1:5" ht="15">
      <c r="A867" s="223" t="s">
        <v>23</v>
      </c>
      <c r="B867" s="223">
        <v>21</v>
      </c>
      <c r="C867" s="223">
        <v>31</v>
      </c>
      <c r="D867" s="223">
        <v>3</v>
      </c>
      <c r="E867" s="223">
        <v>7499</v>
      </c>
    </row>
    <row r="868" spans="1:5" ht="15">
      <c r="A868" s="223" t="s">
        <v>23</v>
      </c>
      <c r="B868" s="223">
        <v>21</v>
      </c>
      <c r="C868" s="223">
        <v>31</v>
      </c>
      <c r="D868" s="223">
        <v>4</v>
      </c>
      <c r="E868" s="223">
        <v>889</v>
      </c>
    </row>
    <row r="869" spans="1:5" ht="15">
      <c r="A869" s="223" t="s">
        <v>23</v>
      </c>
      <c r="B869" s="223">
        <v>21</v>
      </c>
      <c r="C869" s="223">
        <v>31</v>
      </c>
      <c r="D869" s="223">
        <v>5</v>
      </c>
      <c r="E869" s="223">
        <v>500</v>
      </c>
    </row>
    <row r="870" spans="1:5" ht="15">
      <c r="A870" s="223" t="s">
        <v>23</v>
      </c>
      <c r="B870" s="223">
        <v>21</v>
      </c>
      <c r="C870" s="223">
        <v>31</v>
      </c>
      <c r="D870" s="223">
        <v>7</v>
      </c>
      <c r="E870" s="223">
        <v>5000</v>
      </c>
    </row>
    <row r="871" spans="1:5" ht="15">
      <c r="A871" s="223" t="s">
        <v>23</v>
      </c>
      <c r="B871" s="223">
        <v>21</v>
      </c>
      <c r="C871" s="223">
        <v>34</v>
      </c>
      <c r="D871" s="223">
        <v>2</v>
      </c>
      <c r="E871" s="223">
        <v>987</v>
      </c>
    </row>
    <row r="872" spans="1:5" ht="15">
      <c r="A872" s="223" t="s">
        <v>23</v>
      </c>
      <c r="B872" s="223">
        <v>21</v>
      </c>
      <c r="C872" s="223">
        <v>34</v>
      </c>
      <c r="D872" s="223">
        <v>4</v>
      </c>
      <c r="E872" s="223">
        <v>542</v>
      </c>
    </row>
    <row r="873" spans="1:5" ht="15">
      <c r="A873" s="223" t="s">
        <v>23</v>
      </c>
      <c r="B873" s="223">
        <v>24</v>
      </c>
      <c r="C873" s="223">
        <v>27</v>
      </c>
      <c r="D873" s="223">
        <v>2</v>
      </c>
      <c r="E873" s="223">
        <v>60980</v>
      </c>
    </row>
    <row r="874" spans="1:5" ht="15">
      <c r="A874" s="223" t="s">
        <v>23</v>
      </c>
      <c r="B874" s="223">
        <v>24</v>
      </c>
      <c r="C874" s="223">
        <v>27</v>
      </c>
      <c r="D874" s="223">
        <v>3</v>
      </c>
      <c r="E874" s="223">
        <v>136017</v>
      </c>
    </row>
    <row r="875" spans="1:5" ht="15">
      <c r="A875" s="223" t="s">
        <v>23</v>
      </c>
      <c r="B875" s="223">
        <v>24</v>
      </c>
      <c r="C875" s="223">
        <v>27</v>
      </c>
      <c r="D875" s="223">
        <v>4</v>
      </c>
      <c r="E875" s="223">
        <v>76641</v>
      </c>
    </row>
    <row r="876" spans="1:5" ht="15">
      <c r="A876" s="223" t="s">
        <v>25</v>
      </c>
      <c r="B876" s="223">
        <v>21</v>
      </c>
      <c r="C876" s="223">
        <v>21</v>
      </c>
      <c r="D876" s="223">
        <v>2</v>
      </c>
      <c r="E876" s="223">
        <v>193278</v>
      </c>
    </row>
    <row r="877" spans="1:5" ht="15">
      <c r="A877" s="223" t="s">
        <v>25</v>
      </c>
      <c r="B877" s="223">
        <v>21</v>
      </c>
      <c r="C877" s="223">
        <v>21</v>
      </c>
      <c r="D877" s="223">
        <v>3</v>
      </c>
      <c r="E877" s="223">
        <v>232249</v>
      </c>
    </row>
    <row r="878" spans="1:5" ht="15">
      <c r="A878" s="223" t="s">
        <v>25</v>
      </c>
      <c r="B878" s="223">
        <v>21</v>
      </c>
      <c r="C878" s="223">
        <v>21</v>
      </c>
      <c r="D878" s="223">
        <v>4</v>
      </c>
      <c r="E878" s="223">
        <v>153269</v>
      </c>
    </row>
    <row r="879" spans="1:5" ht="15">
      <c r="A879" s="223" t="s">
        <v>25</v>
      </c>
      <c r="B879" s="223">
        <v>21</v>
      </c>
      <c r="C879" s="223">
        <v>24</v>
      </c>
      <c r="D879" s="223">
        <v>2</v>
      </c>
      <c r="E879" s="223">
        <v>438674</v>
      </c>
    </row>
    <row r="880" spans="1:5" ht="15">
      <c r="A880" s="223" t="s">
        <v>25</v>
      </c>
      <c r="B880" s="223">
        <v>21</v>
      </c>
      <c r="C880" s="223">
        <v>24</v>
      </c>
      <c r="D880" s="223">
        <v>4</v>
      </c>
      <c r="E880" s="223">
        <v>152929</v>
      </c>
    </row>
    <row r="881" spans="1:5" ht="15">
      <c r="A881" s="223" t="s">
        <v>25</v>
      </c>
      <c r="B881" s="223">
        <v>21</v>
      </c>
      <c r="C881" s="223">
        <v>26</v>
      </c>
      <c r="D881" s="223">
        <v>2</v>
      </c>
      <c r="E881" s="223">
        <v>4431816</v>
      </c>
    </row>
    <row r="882" spans="1:5" ht="15">
      <c r="A882" s="223" t="s">
        <v>25</v>
      </c>
      <c r="B882" s="223">
        <v>21</v>
      </c>
      <c r="C882" s="223">
        <v>26</v>
      </c>
      <c r="D882" s="223">
        <v>3</v>
      </c>
      <c r="E882" s="223">
        <v>780860</v>
      </c>
    </row>
    <row r="883" spans="1:5" ht="15">
      <c r="A883" s="223" t="s">
        <v>25</v>
      </c>
      <c r="B883" s="223">
        <v>21</v>
      </c>
      <c r="C883" s="223">
        <v>26</v>
      </c>
      <c r="D883" s="223">
        <v>4</v>
      </c>
      <c r="E883" s="223">
        <v>1981278</v>
      </c>
    </row>
    <row r="884" spans="1:5" ht="15">
      <c r="A884" s="223" t="s">
        <v>25</v>
      </c>
      <c r="B884" s="223">
        <v>21</v>
      </c>
      <c r="C884" s="223">
        <v>27</v>
      </c>
      <c r="D884" s="223">
        <v>2</v>
      </c>
      <c r="E884" s="223">
        <v>9921084</v>
      </c>
    </row>
    <row r="885" spans="1:5" ht="15">
      <c r="A885" s="223" t="s">
        <v>25</v>
      </c>
      <c r="B885" s="223">
        <v>21</v>
      </c>
      <c r="C885" s="223">
        <v>27</v>
      </c>
      <c r="D885" s="223">
        <v>3</v>
      </c>
      <c r="E885" s="223">
        <v>7852448</v>
      </c>
    </row>
    <row r="886" spans="1:5" ht="15">
      <c r="A886" s="223" t="s">
        <v>25</v>
      </c>
      <c r="B886" s="223">
        <v>21</v>
      </c>
      <c r="C886" s="223">
        <v>27</v>
      </c>
      <c r="D886" s="223">
        <v>4</v>
      </c>
      <c r="E886" s="223">
        <v>7916163</v>
      </c>
    </row>
    <row r="887" spans="1:5" ht="15">
      <c r="A887" s="223" t="s">
        <v>25</v>
      </c>
      <c r="B887" s="223">
        <v>21</v>
      </c>
      <c r="C887" s="223">
        <v>27</v>
      </c>
      <c r="D887" s="223">
        <v>5</v>
      </c>
      <c r="E887" s="223">
        <v>255000</v>
      </c>
    </row>
    <row r="888" spans="1:5" ht="15">
      <c r="A888" s="223" t="s">
        <v>25</v>
      </c>
      <c r="B888" s="223">
        <v>21</v>
      </c>
      <c r="C888" s="223">
        <v>31</v>
      </c>
      <c r="D888" s="223">
        <v>2</v>
      </c>
      <c r="E888" s="223">
        <v>549922</v>
      </c>
    </row>
    <row r="889" spans="1:5" ht="15">
      <c r="A889" s="223" t="s">
        <v>25</v>
      </c>
      <c r="B889" s="223">
        <v>21</v>
      </c>
      <c r="C889" s="223">
        <v>31</v>
      </c>
      <c r="D889" s="223">
        <v>4</v>
      </c>
      <c r="E889" s="223">
        <v>123777</v>
      </c>
    </row>
    <row r="890" spans="1:5" ht="15">
      <c r="A890" s="223" t="s">
        <v>25</v>
      </c>
      <c r="B890" s="223">
        <v>24</v>
      </c>
      <c r="C890" s="223">
        <v>21</v>
      </c>
      <c r="D890" s="223">
        <v>2</v>
      </c>
      <c r="E890" s="223">
        <v>625088</v>
      </c>
    </row>
    <row r="891" spans="1:5" ht="15">
      <c r="A891" s="223" t="s">
        <v>25</v>
      </c>
      <c r="B891" s="223">
        <v>24</v>
      </c>
      <c r="C891" s="223">
        <v>21</v>
      </c>
      <c r="D891" s="223">
        <v>4</v>
      </c>
      <c r="E891" s="223">
        <v>192604</v>
      </c>
    </row>
    <row r="892" spans="1:5" ht="15">
      <c r="A892" s="223" t="s">
        <v>25</v>
      </c>
      <c r="B892" s="223">
        <v>24</v>
      </c>
      <c r="C892" s="223">
        <v>26</v>
      </c>
      <c r="D892" s="223">
        <v>2</v>
      </c>
      <c r="E892" s="223">
        <v>968198</v>
      </c>
    </row>
    <row r="893" spans="1:5" ht="15">
      <c r="A893" s="223" t="s">
        <v>25</v>
      </c>
      <c r="B893" s="223">
        <v>24</v>
      </c>
      <c r="C893" s="223">
        <v>26</v>
      </c>
      <c r="D893" s="223">
        <v>4</v>
      </c>
      <c r="E893" s="223">
        <v>341478</v>
      </c>
    </row>
    <row r="894" spans="1:5" ht="15">
      <c r="A894" s="223" t="s">
        <v>25</v>
      </c>
      <c r="B894" s="223">
        <v>24</v>
      </c>
      <c r="C894" s="223">
        <v>26</v>
      </c>
      <c r="D894" s="223">
        <v>5</v>
      </c>
      <c r="E894" s="223">
        <v>30204</v>
      </c>
    </row>
    <row r="895" spans="1:5" ht="15">
      <c r="A895" s="223" t="s">
        <v>25</v>
      </c>
      <c r="B895" s="223">
        <v>24</v>
      </c>
      <c r="C895" s="223">
        <v>27</v>
      </c>
      <c r="D895" s="223">
        <v>5</v>
      </c>
      <c r="E895" s="223">
        <v>327</v>
      </c>
    </row>
    <row r="896" spans="1:5" ht="15">
      <c r="A896" s="223" t="s">
        <v>25</v>
      </c>
      <c r="B896" s="223">
        <v>24</v>
      </c>
      <c r="C896" s="223">
        <v>31</v>
      </c>
      <c r="D896" s="223">
        <v>2</v>
      </c>
      <c r="E896" s="223">
        <v>374333</v>
      </c>
    </row>
    <row r="897" spans="1:5" ht="15">
      <c r="A897" s="223" t="s">
        <v>25</v>
      </c>
      <c r="B897" s="223">
        <v>24</v>
      </c>
      <c r="C897" s="223">
        <v>31</v>
      </c>
      <c r="D897" s="223">
        <v>4</v>
      </c>
      <c r="E897" s="223">
        <v>122501</v>
      </c>
    </row>
    <row r="898" spans="1:5" ht="15">
      <c r="A898" s="223" t="s">
        <v>25</v>
      </c>
      <c r="B898" s="223">
        <v>26</v>
      </c>
      <c r="C898" s="223">
        <v>23</v>
      </c>
      <c r="D898" s="223">
        <v>2</v>
      </c>
      <c r="E898" s="223">
        <v>205993</v>
      </c>
    </row>
    <row r="899" spans="1:5" ht="15">
      <c r="A899" s="223" t="s">
        <v>25</v>
      </c>
      <c r="B899" s="223">
        <v>26</v>
      </c>
      <c r="C899" s="223">
        <v>23</v>
      </c>
      <c r="D899" s="223">
        <v>3</v>
      </c>
      <c r="E899" s="223">
        <v>138398</v>
      </c>
    </row>
    <row r="900" spans="1:5" ht="15">
      <c r="A900" s="223" t="s">
        <v>25</v>
      </c>
      <c r="B900" s="223">
        <v>26</v>
      </c>
      <c r="C900" s="223">
        <v>23</v>
      </c>
      <c r="D900" s="223">
        <v>4</v>
      </c>
      <c r="E900" s="223">
        <v>113343</v>
      </c>
    </row>
    <row r="901" spans="1:5" ht="15">
      <c r="A901" s="223" t="s">
        <v>25</v>
      </c>
      <c r="B901" s="223">
        <v>26</v>
      </c>
      <c r="C901" s="223">
        <v>24</v>
      </c>
      <c r="D901" s="223">
        <v>2</v>
      </c>
      <c r="E901" s="223">
        <v>108558</v>
      </c>
    </row>
    <row r="902" spans="1:5" ht="15">
      <c r="A902" s="223" t="s">
        <v>25</v>
      </c>
      <c r="B902" s="223">
        <v>26</v>
      </c>
      <c r="C902" s="223">
        <v>24</v>
      </c>
      <c r="D902" s="223">
        <v>4</v>
      </c>
      <c r="E902" s="223">
        <v>38461</v>
      </c>
    </row>
    <row r="903" spans="1:5" ht="15">
      <c r="A903" s="223" t="s">
        <v>25</v>
      </c>
      <c r="B903" s="223">
        <v>26</v>
      </c>
      <c r="C903" s="223">
        <v>26</v>
      </c>
      <c r="D903" s="223">
        <v>2</v>
      </c>
      <c r="E903" s="223">
        <v>116901</v>
      </c>
    </row>
    <row r="904" spans="1:5" ht="15">
      <c r="A904" s="223" t="s">
        <v>25</v>
      </c>
      <c r="B904" s="223">
        <v>26</v>
      </c>
      <c r="C904" s="223">
        <v>26</v>
      </c>
      <c r="D904" s="223">
        <v>4</v>
      </c>
      <c r="E904" s="223">
        <v>39018</v>
      </c>
    </row>
    <row r="905" spans="1:5" ht="15">
      <c r="A905" s="223" t="s">
        <v>25</v>
      </c>
      <c r="B905" s="223">
        <v>26</v>
      </c>
      <c r="C905" s="223">
        <v>27</v>
      </c>
      <c r="D905" s="223">
        <v>0</v>
      </c>
      <c r="E905" s="223">
        <v>500</v>
      </c>
    </row>
    <row r="906" spans="1:5" ht="15">
      <c r="A906" s="223" t="s">
        <v>25</v>
      </c>
      <c r="B906" s="223">
        <v>26</v>
      </c>
      <c r="C906" s="223">
        <v>27</v>
      </c>
      <c r="D906" s="223">
        <v>2</v>
      </c>
      <c r="E906" s="223">
        <v>584421</v>
      </c>
    </row>
    <row r="907" spans="1:5" ht="15">
      <c r="A907" s="223" t="s">
        <v>25</v>
      </c>
      <c r="B907" s="223">
        <v>26</v>
      </c>
      <c r="C907" s="223">
        <v>27</v>
      </c>
      <c r="D907" s="223">
        <v>3</v>
      </c>
      <c r="E907" s="223">
        <v>156478</v>
      </c>
    </row>
    <row r="908" spans="1:5" ht="15">
      <c r="A908" s="223" t="s">
        <v>25</v>
      </c>
      <c r="B908" s="223">
        <v>26</v>
      </c>
      <c r="C908" s="223">
        <v>27</v>
      </c>
      <c r="D908" s="223">
        <v>4</v>
      </c>
      <c r="E908" s="223">
        <v>298150</v>
      </c>
    </row>
    <row r="909" spans="1:5" ht="15">
      <c r="A909" s="223" t="s">
        <v>25</v>
      </c>
      <c r="B909" s="223">
        <v>26</v>
      </c>
      <c r="C909" s="223">
        <v>27</v>
      </c>
      <c r="D909" s="223">
        <v>5</v>
      </c>
      <c r="E909" s="223">
        <v>84077</v>
      </c>
    </row>
    <row r="910" spans="1:5" ht="15">
      <c r="A910" s="223" t="s">
        <v>25</v>
      </c>
      <c r="B910" s="223">
        <v>26</v>
      </c>
      <c r="C910" s="223">
        <v>27</v>
      </c>
      <c r="D910" s="223">
        <v>7</v>
      </c>
      <c r="E910" s="223">
        <v>68000</v>
      </c>
    </row>
    <row r="911" spans="1:5" ht="15">
      <c r="A911" s="223" t="s">
        <v>25</v>
      </c>
      <c r="B911" s="223">
        <v>26</v>
      </c>
      <c r="C911" s="223">
        <v>31</v>
      </c>
      <c r="D911" s="223">
        <v>2</v>
      </c>
      <c r="E911" s="223">
        <v>29085</v>
      </c>
    </row>
    <row r="912" spans="1:5" ht="15">
      <c r="A912" s="223" t="s">
        <v>25</v>
      </c>
      <c r="B912" s="223">
        <v>26</v>
      </c>
      <c r="C912" s="223">
        <v>31</v>
      </c>
      <c r="D912" s="223">
        <v>4</v>
      </c>
      <c r="E912" s="223">
        <v>6541</v>
      </c>
    </row>
    <row r="913" spans="1:5" ht="15">
      <c r="A913" s="223" t="s">
        <v>25</v>
      </c>
      <c r="B913" s="223">
        <v>26</v>
      </c>
      <c r="C913" s="223">
        <v>31</v>
      </c>
      <c r="D913" s="223">
        <v>7</v>
      </c>
      <c r="E913" s="223">
        <v>8000</v>
      </c>
    </row>
    <row r="914" spans="1:5" ht="15">
      <c r="A914" s="223" t="s">
        <v>25</v>
      </c>
      <c r="B914" s="223">
        <v>29</v>
      </c>
      <c r="C914" s="223">
        <v>27</v>
      </c>
      <c r="D914" s="223">
        <v>5</v>
      </c>
      <c r="E914" s="223">
        <v>1000000</v>
      </c>
    </row>
    <row r="915" spans="1:5" ht="15">
      <c r="A915" s="223" t="s">
        <v>27</v>
      </c>
      <c r="B915" s="223">
        <v>21</v>
      </c>
      <c r="C915" s="223">
        <v>21</v>
      </c>
      <c r="D915" s="223">
        <v>2</v>
      </c>
      <c r="E915" s="223">
        <v>28197</v>
      </c>
    </row>
    <row r="916" spans="1:5" ht="15">
      <c r="A916" s="223" t="s">
        <v>27</v>
      </c>
      <c r="B916" s="223">
        <v>21</v>
      </c>
      <c r="C916" s="223">
        <v>21</v>
      </c>
      <c r="D916" s="223">
        <v>3</v>
      </c>
      <c r="E916" s="223">
        <v>28994</v>
      </c>
    </row>
    <row r="917" spans="1:5" ht="15">
      <c r="A917" s="223" t="s">
        <v>27</v>
      </c>
      <c r="B917" s="223">
        <v>21</v>
      </c>
      <c r="C917" s="223">
        <v>21</v>
      </c>
      <c r="D917" s="223">
        <v>4</v>
      </c>
      <c r="E917" s="223">
        <v>26291</v>
      </c>
    </row>
    <row r="918" spans="1:5" ht="15">
      <c r="A918" s="223" t="s">
        <v>27</v>
      </c>
      <c r="B918" s="223">
        <v>21</v>
      </c>
      <c r="C918" s="223">
        <v>26</v>
      </c>
      <c r="D918" s="223">
        <v>5</v>
      </c>
      <c r="E918" s="223">
        <v>2500</v>
      </c>
    </row>
    <row r="919" spans="1:5" ht="15">
      <c r="A919" s="223" t="s">
        <v>27</v>
      </c>
      <c r="B919" s="223">
        <v>21</v>
      </c>
      <c r="C919" s="223">
        <v>26</v>
      </c>
      <c r="D919" s="223">
        <v>7</v>
      </c>
      <c r="E919" s="223">
        <v>185000</v>
      </c>
    </row>
    <row r="920" spans="1:5" ht="15">
      <c r="A920" s="223" t="s">
        <v>27</v>
      </c>
      <c r="B920" s="223">
        <v>21</v>
      </c>
      <c r="C920" s="223">
        <v>27</v>
      </c>
      <c r="D920" s="223">
        <v>0</v>
      </c>
      <c r="E920" s="223">
        <v>750</v>
      </c>
    </row>
    <row r="921" spans="1:5" ht="15">
      <c r="A921" s="223" t="s">
        <v>27</v>
      </c>
      <c r="B921" s="223">
        <v>21</v>
      </c>
      <c r="C921" s="223">
        <v>27</v>
      </c>
      <c r="D921" s="223">
        <v>2</v>
      </c>
      <c r="E921" s="223">
        <v>243935</v>
      </c>
    </row>
    <row r="922" spans="1:5" ht="15">
      <c r="A922" s="223" t="s">
        <v>27</v>
      </c>
      <c r="B922" s="223">
        <v>21</v>
      </c>
      <c r="C922" s="223">
        <v>27</v>
      </c>
      <c r="D922" s="223">
        <v>3</v>
      </c>
      <c r="E922" s="223">
        <v>134716</v>
      </c>
    </row>
    <row r="923" spans="1:5" ht="15">
      <c r="A923" s="223" t="s">
        <v>27</v>
      </c>
      <c r="B923" s="223">
        <v>21</v>
      </c>
      <c r="C923" s="223">
        <v>27</v>
      </c>
      <c r="D923" s="223">
        <v>4</v>
      </c>
      <c r="E923" s="223">
        <v>196655</v>
      </c>
    </row>
    <row r="924" spans="1:5" ht="15">
      <c r="A924" s="223" t="s">
        <v>27</v>
      </c>
      <c r="B924" s="223">
        <v>21</v>
      </c>
      <c r="C924" s="223">
        <v>27</v>
      </c>
      <c r="D924" s="223">
        <v>5</v>
      </c>
      <c r="E924" s="223">
        <v>9500</v>
      </c>
    </row>
    <row r="925" spans="1:5" ht="15">
      <c r="A925" s="223" t="s">
        <v>27</v>
      </c>
      <c r="B925" s="223">
        <v>21</v>
      </c>
      <c r="C925" s="223">
        <v>27</v>
      </c>
      <c r="D925" s="223">
        <v>7</v>
      </c>
      <c r="E925" s="223">
        <v>16500</v>
      </c>
    </row>
    <row r="926" spans="1:5" ht="15">
      <c r="A926" s="223" t="s">
        <v>27</v>
      </c>
      <c r="B926" s="223">
        <v>21</v>
      </c>
      <c r="C926" s="223">
        <v>31</v>
      </c>
      <c r="D926" s="223">
        <v>2</v>
      </c>
      <c r="E926" s="223">
        <v>2874</v>
      </c>
    </row>
    <row r="927" spans="1:5" ht="15">
      <c r="A927" s="223" t="s">
        <v>27</v>
      </c>
      <c r="B927" s="223">
        <v>21</v>
      </c>
      <c r="C927" s="223">
        <v>31</v>
      </c>
      <c r="D927" s="223">
        <v>4</v>
      </c>
      <c r="E927" s="223">
        <v>336</v>
      </c>
    </row>
    <row r="928" spans="1:5" ht="15">
      <c r="A928" s="223" t="s">
        <v>27</v>
      </c>
      <c r="B928" s="223">
        <v>21</v>
      </c>
      <c r="C928" s="223">
        <v>31</v>
      </c>
      <c r="D928" s="223">
        <v>7</v>
      </c>
      <c r="E928" s="223">
        <v>4000</v>
      </c>
    </row>
    <row r="929" spans="1:5" ht="15">
      <c r="A929" s="223" t="s">
        <v>27</v>
      </c>
      <c r="B929" s="223">
        <v>21</v>
      </c>
      <c r="C929" s="223">
        <v>31</v>
      </c>
      <c r="D929" s="223">
        <v>8</v>
      </c>
      <c r="E929" s="223">
        <v>4000</v>
      </c>
    </row>
    <row r="930" spans="1:5" ht="15">
      <c r="A930" s="223" t="s">
        <v>27</v>
      </c>
      <c r="B930" s="223">
        <v>21</v>
      </c>
      <c r="C930" s="223">
        <v>34</v>
      </c>
      <c r="D930" s="223">
        <v>2</v>
      </c>
      <c r="E930" s="223">
        <v>1078</v>
      </c>
    </row>
    <row r="931" spans="1:5" ht="15">
      <c r="A931" s="223" t="s">
        <v>27</v>
      </c>
      <c r="B931" s="223">
        <v>21</v>
      </c>
      <c r="C931" s="223">
        <v>34</v>
      </c>
      <c r="D931" s="223">
        <v>4</v>
      </c>
      <c r="E931" s="223">
        <v>249</v>
      </c>
    </row>
    <row r="932" spans="1:5" ht="15">
      <c r="A932" s="223" t="s">
        <v>27</v>
      </c>
      <c r="B932" s="223">
        <v>24</v>
      </c>
      <c r="C932" s="223">
        <v>27</v>
      </c>
      <c r="D932" s="223">
        <v>3</v>
      </c>
      <c r="E932" s="223">
        <v>59666</v>
      </c>
    </row>
    <row r="933" spans="1:5" ht="15">
      <c r="A933" s="223" t="s">
        <v>27</v>
      </c>
      <c r="B933" s="223">
        <v>24</v>
      </c>
      <c r="C933" s="223">
        <v>27</v>
      </c>
      <c r="D933" s="223">
        <v>4</v>
      </c>
      <c r="E933" s="223">
        <v>45664</v>
      </c>
    </row>
    <row r="934" spans="1:5" ht="15">
      <c r="A934" s="223" t="s">
        <v>27</v>
      </c>
      <c r="B934" s="223">
        <v>24</v>
      </c>
      <c r="C934" s="223">
        <v>27</v>
      </c>
      <c r="D934" s="223">
        <v>7</v>
      </c>
      <c r="E934" s="223">
        <v>4122</v>
      </c>
    </row>
    <row r="935" spans="1:5" ht="15">
      <c r="A935" s="223" t="s">
        <v>29</v>
      </c>
      <c r="B935" s="223">
        <v>21</v>
      </c>
      <c r="C935" s="223">
        <v>21</v>
      </c>
      <c r="D935" s="223">
        <v>2</v>
      </c>
      <c r="E935" s="223">
        <v>71420</v>
      </c>
    </row>
    <row r="936" spans="1:5" ht="15">
      <c r="A936" s="223" t="s">
        <v>29</v>
      </c>
      <c r="B936" s="223">
        <v>21</v>
      </c>
      <c r="C936" s="223">
        <v>21</v>
      </c>
      <c r="D936" s="223">
        <v>3</v>
      </c>
      <c r="E936" s="223">
        <v>34012</v>
      </c>
    </row>
    <row r="937" spans="1:5" ht="15">
      <c r="A937" s="223" t="s">
        <v>29</v>
      </c>
      <c r="B937" s="223">
        <v>21</v>
      </c>
      <c r="C937" s="223">
        <v>21</v>
      </c>
      <c r="D937" s="223">
        <v>4</v>
      </c>
      <c r="E937" s="223">
        <v>39287</v>
      </c>
    </row>
    <row r="938" spans="1:5" ht="15">
      <c r="A938" s="223" t="s">
        <v>29</v>
      </c>
      <c r="B938" s="223">
        <v>21</v>
      </c>
      <c r="C938" s="223">
        <v>21</v>
      </c>
      <c r="D938" s="223">
        <v>8</v>
      </c>
      <c r="E938" s="223">
        <v>1500</v>
      </c>
    </row>
    <row r="939" spans="1:5" ht="15">
      <c r="A939" s="223" t="s">
        <v>29</v>
      </c>
      <c r="B939" s="223">
        <v>21</v>
      </c>
      <c r="C939" s="223">
        <v>25</v>
      </c>
      <c r="D939" s="223">
        <v>3</v>
      </c>
      <c r="E939" s="223">
        <v>29855</v>
      </c>
    </row>
    <row r="940" spans="1:5" ht="15">
      <c r="A940" s="223" t="s">
        <v>29</v>
      </c>
      <c r="B940" s="223">
        <v>21</v>
      </c>
      <c r="C940" s="223">
        <v>25</v>
      </c>
      <c r="D940" s="223">
        <v>4</v>
      </c>
      <c r="E940" s="223">
        <v>31021</v>
      </c>
    </row>
    <row r="941" spans="1:5" ht="15">
      <c r="A941" s="223" t="s">
        <v>29</v>
      </c>
      <c r="B941" s="223">
        <v>21</v>
      </c>
      <c r="C941" s="223">
        <v>26</v>
      </c>
      <c r="D941" s="223">
        <v>2</v>
      </c>
      <c r="E941" s="223">
        <v>76961</v>
      </c>
    </row>
    <row r="942" spans="1:5" ht="15">
      <c r="A942" s="223" t="s">
        <v>29</v>
      </c>
      <c r="B942" s="223">
        <v>21</v>
      </c>
      <c r="C942" s="223">
        <v>26</v>
      </c>
      <c r="D942" s="223">
        <v>3</v>
      </c>
      <c r="E942" s="223">
        <v>16681</v>
      </c>
    </row>
    <row r="943" spans="1:5" ht="15">
      <c r="A943" s="223" t="s">
        <v>29</v>
      </c>
      <c r="B943" s="223">
        <v>21</v>
      </c>
      <c r="C943" s="223">
        <v>26</v>
      </c>
      <c r="D943" s="223">
        <v>4</v>
      </c>
      <c r="E943" s="223">
        <v>51866</v>
      </c>
    </row>
    <row r="944" spans="1:5" ht="15">
      <c r="A944" s="223" t="s">
        <v>29</v>
      </c>
      <c r="B944" s="223">
        <v>21</v>
      </c>
      <c r="C944" s="223">
        <v>26</v>
      </c>
      <c r="D944" s="223">
        <v>5</v>
      </c>
      <c r="E944" s="223">
        <v>1250</v>
      </c>
    </row>
    <row r="945" spans="1:5" ht="15">
      <c r="A945" s="223" t="s">
        <v>29</v>
      </c>
      <c r="B945" s="223">
        <v>21</v>
      </c>
      <c r="C945" s="223">
        <v>26</v>
      </c>
      <c r="D945" s="223">
        <v>7</v>
      </c>
      <c r="E945" s="223">
        <v>421200</v>
      </c>
    </row>
    <row r="946" spans="1:5" ht="15">
      <c r="A946" s="223" t="s">
        <v>29</v>
      </c>
      <c r="B946" s="223">
        <v>21</v>
      </c>
      <c r="C946" s="223">
        <v>27</v>
      </c>
      <c r="D946" s="223">
        <v>2</v>
      </c>
      <c r="E946" s="223">
        <v>955894</v>
      </c>
    </row>
    <row r="947" spans="1:5" ht="15">
      <c r="A947" s="223" t="s">
        <v>29</v>
      </c>
      <c r="B947" s="223">
        <v>21</v>
      </c>
      <c r="C947" s="223">
        <v>27</v>
      </c>
      <c r="D947" s="223">
        <v>3</v>
      </c>
      <c r="E947" s="223">
        <v>555929</v>
      </c>
    </row>
    <row r="948" spans="1:5" ht="15">
      <c r="A948" s="223" t="s">
        <v>29</v>
      </c>
      <c r="B948" s="223">
        <v>21</v>
      </c>
      <c r="C948" s="223">
        <v>27</v>
      </c>
      <c r="D948" s="223">
        <v>4</v>
      </c>
      <c r="E948" s="223">
        <v>742940</v>
      </c>
    </row>
    <row r="949" spans="1:5" ht="15">
      <c r="A949" s="223" t="s">
        <v>29</v>
      </c>
      <c r="B949" s="223">
        <v>21</v>
      </c>
      <c r="C949" s="223">
        <v>27</v>
      </c>
      <c r="D949" s="223">
        <v>7</v>
      </c>
      <c r="E949" s="223">
        <v>9550</v>
      </c>
    </row>
    <row r="950" spans="1:5" ht="15">
      <c r="A950" s="223" t="s">
        <v>29</v>
      </c>
      <c r="B950" s="223">
        <v>21</v>
      </c>
      <c r="C950" s="223">
        <v>33</v>
      </c>
      <c r="D950" s="223">
        <v>5</v>
      </c>
      <c r="E950" s="223">
        <v>500</v>
      </c>
    </row>
    <row r="951" spans="1:5" ht="15">
      <c r="A951" s="223" t="s">
        <v>29</v>
      </c>
      <c r="B951" s="223">
        <v>21</v>
      </c>
      <c r="C951" s="223">
        <v>34</v>
      </c>
      <c r="D951" s="223">
        <v>2</v>
      </c>
      <c r="E951" s="223">
        <v>15675</v>
      </c>
    </row>
    <row r="952" spans="1:5" ht="15">
      <c r="A952" s="223" t="s">
        <v>29</v>
      </c>
      <c r="B952" s="223">
        <v>21</v>
      </c>
      <c r="C952" s="223">
        <v>34</v>
      </c>
      <c r="D952" s="223">
        <v>4</v>
      </c>
      <c r="E952" s="223">
        <v>2670</v>
      </c>
    </row>
    <row r="953" spans="1:5" ht="15">
      <c r="A953" s="223" t="s">
        <v>29</v>
      </c>
      <c r="B953" s="223">
        <v>23</v>
      </c>
      <c r="C953" s="223">
        <v>27</v>
      </c>
      <c r="D953" s="223">
        <v>3</v>
      </c>
      <c r="E953" s="223">
        <v>24459</v>
      </c>
    </row>
    <row r="954" spans="1:5" ht="15">
      <c r="A954" s="223" t="s">
        <v>29</v>
      </c>
      <c r="B954" s="223">
        <v>23</v>
      </c>
      <c r="C954" s="223">
        <v>27</v>
      </c>
      <c r="D954" s="223">
        <v>4</v>
      </c>
      <c r="E954" s="223">
        <v>17530</v>
      </c>
    </row>
    <row r="955" spans="1:5" ht="15">
      <c r="A955" s="223" t="s">
        <v>29</v>
      </c>
      <c r="B955" s="223">
        <v>24</v>
      </c>
      <c r="C955" s="223">
        <v>27</v>
      </c>
      <c r="D955" s="223">
        <v>3</v>
      </c>
      <c r="E955" s="223">
        <v>220432</v>
      </c>
    </row>
    <row r="956" spans="1:5" ht="15">
      <c r="A956" s="223" t="s">
        <v>29</v>
      </c>
      <c r="B956" s="223">
        <v>24</v>
      </c>
      <c r="C956" s="223">
        <v>27</v>
      </c>
      <c r="D956" s="223">
        <v>4</v>
      </c>
      <c r="E956" s="223">
        <v>155778</v>
      </c>
    </row>
    <row r="957" spans="1:5" ht="15">
      <c r="A957" s="223" t="s">
        <v>29</v>
      </c>
      <c r="B957" s="223">
        <v>24</v>
      </c>
      <c r="C957" s="223">
        <v>27</v>
      </c>
      <c r="D957" s="223">
        <v>5</v>
      </c>
      <c r="E957" s="223">
        <v>2637</v>
      </c>
    </row>
    <row r="958" spans="1:5" ht="15">
      <c r="A958" s="223" t="s">
        <v>29</v>
      </c>
      <c r="B958" s="223">
        <v>24</v>
      </c>
      <c r="C958" s="223">
        <v>27</v>
      </c>
      <c r="D958" s="223">
        <v>7</v>
      </c>
      <c r="E958" s="223">
        <v>7661</v>
      </c>
    </row>
    <row r="959" spans="1:5" ht="15">
      <c r="A959" s="223" t="s">
        <v>148</v>
      </c>
      <c r="B959" s="223">
        <v>21</v>
      </c>
      <c r="C959" s="223">
        <v>21</v>
      </c>
      <c r="D959" s="223">
        <v>2</v>
      </c>
      <c r="E959" s="223">
        <v>3271</v>
      </c>
    </row>
    <row r="960" spans="1:5" ht="15">
      <c r="A960" s="223" t="s">
        <v>148</v>
      </c>
      <c r="B960" s="223">
        <v>21</v>
      </c>
      <c r="C960" s="223">
        <v>21</v>
      </c>
      <c r="D960" s="223">
        <v>4</v>
      </c>
      <c r="E960" s="223">
        <v>740</v>
      </c>
    </row>
    <row r="961" spans="1:5" ht="15">
      <c r="A961" s="223" t="s">
        <v>148</v>
      </c>
      <c r="B961" s="223">
        <v>21</v>
      </c>
      <c r="C961" s="223">
        <v>27</v>
      </c>
      <c r="D961" s="223">
        <v>2</v>
      </c>
      <c r="E961" s="223">
        <v>74999</v>
      </c>
    </row>
    <row r="962" spans="1:5" ht="15">
      <c r="A962" s="223" t="s">
        <v>148</v>
      </c>
      <c r="B962" s="223">
        <v>21</v>
      </c>
      <c r="C962" s="223">
        <v>27</v>
      </c>
      <c r="D962" s="223">
        <v>3</v>
      </c>
      <c r="E962" s="223">
        <v>58016</v>
      </c>
    </row>
    <row r="963" spans="1:5" ht="15">
      <c r="A963" s="223" t="s">
        <v>148</v>
      </c>
      <c r="B963" s="223">
        <v>21</v>
      </c>
      <c r="C963" s="223">
        <v>27</v>
      </c>
      <c r="D963" s="223">
        <v>4</v>
      </c>
      <c r="E963" s="223">
        <v>67650</v>
      </c>
    </row>
    <row r="964" spans="1:5" ht="15">
      <c r="A964" s="223" t="s">
        <v>148</v>
      </c>
      <c r="B964" s="223">
        <v>21</v>
      </c>
      <c r="C964" s="223">
        <v>27</v>
      </c>
      <c r="D964" s="223">
        <v>5</v>
      </c>
      <c r="E964" s="223">
        <v>1500</v>
      </c>
    </row>
    <row r="965" spans="1:5" ht="15">
      <c r="A965" s="223" t="s">
        <v>148</v>
      </c>
      <c r="B965" s="223">
        <v>21</v>
      </c>
      <c r="C965" s="223">
        <v>27</v>
      </c>
      <c r="D965" s="223">
        <v>7</v>
      </c>
      <c r="E965" s="223">
        <v>73000</v>
      </c>
    </row>
    <row r="966" spans="1:5" ht="15">
      <c r="A966" s="223" t="s">
        <v>148</v>
      </c>
      <c r="B966" s="223">
        <v>21</v>
      </c>
      <c r="C966" s="223">
        <v>27</v>
      </c>
      <c r="D966" s="223">
        <v>8</v>
      </c>
      <c r="E966" s="223">
        <v>100</v>
      </c>
    </row>
    <row r="967" spans="1:5" ht="15">
      <c r="A967" s="223" t="s">
        <v>148</v>
      </c>
      <c r="B967" s="223">
        <v>21</v>
      </c>
      <c r="C967" s="223">
        <v>27</v>
      </c>
      <c r="D967" s="223">
        <v>9</v>
      </c>
      <c r="E967" s="223">
        <v>1750</v>
      </c>
    </row>
    <row r="968" spans="1:5" ht="15">
      <c r="A968" s="223" t="s">
        <v>148</v>
      </c>
      <c r="B968" s="223">
        <v>24</v>
      </c>
      <c r="C968" s="223">
        <v>26</v>
      </c>
      <c r="D968" s="223">
        <v>7</v>
      </c>
      <c r="E968" s="223">
        <v>38208</v>
      </c>
    </row>
    <row r="969" spans="1:5" ht="15">
      <c r="A969" s="223" t="s">
        <v>150</v>
      </c>
      <c r="B969" s="223">
        <v>21</v>
      </c>
      <c r="C969" s="223">
        <v>26</v>
      </c>
      <c r="D969" s="223">
        <v>7</v>
      </c>
      <c r="E969" s="223">
        <v>4500</v>
      </c>
    </row>
    <row r="970" spans="1:5" ht="15">
      <c r="A970" s="223" t="s">
        <v>150</v>
      </c>
      <c r="B970" s="223">
        <v>21</v>
      </c>
      <c r="C970" s="223">
        <v>27</v>
      </c>
      <c r="D970" s="223">
        <v>2</v>
      </c>
      <c r="E970" s="223">
        <v>79297</v>
      </c>
    </row>
    <row r="971" spans="1:5" ht="15">
      <c r="A971" s="223" t="s">
        <v>150</v>
      </c>
      <c r="B971" s="223">
        <v>21</v>
      </c>
      <c r="C971" s="223">
        <v>27</v>
      </c>
      <c r="D971" s="223">
        <v>3</v>
      </c>
      <c r="E971" s="223">
        <v>52745</v>
      </c>
    </row>
    <row r="972" spans="1:5" ht="15">
      <c r="A972" s="223" t="s">
        <v>150</v>
      </c>
      <c r="B972" s="223">
        <v>21</v>
      </c>
      <c r="C972" s="223">
        <v>27</v>
      </c>
      <c r="D972" s="223">
        <v>4</v>
      </c>
      <c r="E972" s="223">
        <v>66324</v>
      </c>
    </row>
    <row r="973" spans="1:5" ht="15">
      <c r="A973" s="223" t="s">
        <v>150</v>
      </c>
      <c r="B973" s="223">
        <v>21</v>
      </c>
      <c r="C973" s="223">
        <v>27</v>
      </c>
      <c r="D973" s="223">
        <v>5</v>
      </c>
      <c r="E973" s="223">
        <v>400</v>
      </c>
    </row>
    <row r="974" spans="1:5" ht="15">
      <c r="A974" s="223" t="s">
        <v>150</v>
      </c>
      <c r="B974" s="223">
        <v>21</v>
      </c>
      <c r="C974" s="223">
        <v>34</v>
      </c>
      <c r="D974" s="223">
        <v>2</v>
      </c>
      <c r="E974" s="223">
        <v>1293</v>
      </c>
    </row>
    <row r="975" spans="1:5" ht="15">
      <c r="A975" s="223" t="s">
        <v>150</v>
      </c>
      <c r="B975" s="223">
        <v>21</v>
      </c>
      <c r="C975" s="223">
        <v>34</v>
      </c>
      <c r="D975" s="223">
        <v>4</v>
      </c>
      <c r="E975" s="223">
        <v>299</v>
      </c>
    </row>
    <row r="976" spans="1:5" ht="15">
      <c r="A976" s="223" t="s">
        <v>150</v>
      </c>
      <c r="B976" s="223">
        <v>24</v>
      </c>
      <c r="C976" s="223">
        <v>26</v>
      </c>
      <c r="D976" s="223">
        <v>7</v>
      </c>
      <c r="E976" s="223">
        <v>28849</v>
      </c>
    </row>
    <row r="977" spans="1:5" ht="15">
      <c r="A977" s="223" t="s">
        <v>150</v>
      </c>
      <c r="B977" s="223">
        <v>29</v>
      </c>
      <c r="C977" s="223">
        <v>26</v>
      </c>
      <c r="D977" s="223">
        <v>7</v>
      </c>
      <c r="E977" s="223">
        <v>37774</v>
      </c>
    </row>
    <row r="978" spans="1:5" ht="15">
      <c r="A978" s="223" t="s">
        <v>133</v>
      </c>
      <c r="B978" s="223">
        <v>21</v>
      </c>
      <c r="C978" s="223">
        <v>21</v>
      </c>
      <c r="D978" s="223">
        <v>3</v>
      </c>
      <c r="E978" s="223">
        <v>9647</v>
      </c>
    </row>
    <row r="979" spans="1:5" ht="15">
      <c r="A979" s="223" t="s">
        <v>133</v>
      </c>
      <c r="B979" s="223">
        <v>21</v>
      </c>
      <c r="C979" s="223">
        <v>21</v>
      </c>
      <c r="D979" s="223">
        <v>4</v>
      </c>
      <c r="E979" s="223">
        <v>5568</v>
      </c>
    </row>
    <row r="980" spans="1:5" ht="15">
      <c r="A980" s="223" t="s">
        <v>133</v>
      </c>
      <c r="B980" s="223">
        <v>21</v>
      </c>
      <c r="C980" s="223">
        <v>21</v>
      </c>
      <c r="D980" s="223">
        <v>5</v>
      </c>
      <c r="E980" s="223">
        <v>5621</v>
      </c>
    </row>
    <row r="981" spans="1:5" ht="15">
      <c r="A981" s="223" t="s">
        <v>133</v>
      </c>
      <c r="B981" s="223">
        <v>21</v>
      </c>
      <c r="C981" s="223">
        <v>26</v>
      </c>
      <c r="D981" s="223">
        <v>2</v>
      </c>
      <c r="E981" s="223">
        <v>82577</v>
      </c>
    </row>
    <row r="982" spans="1:5" ht="15">
      <c r="A982" s="223" t="s">
        <v>133</v>
      </c>
      <c r="B982" s="223">
        <v>21</v>
      </c>
      <c r="C982" s="223">
        <v>26</v>
      </c>
      <c r="D982" s="223">
        <v>4</v>
      </c>
      <c r="E982" s="223">
        <v>32574</v>
      </c>
    </row>
    <row r="983" spans="1:5" ht="15">
      <c r="A983" s="223" t="s">
        <v>133</v>
      </c>
      <c r="B983" s="223">
        <v>21</v>
      </c>
      <c r="C983" s="223">
        <v>26</v>
      </c>
      <c r="D983" s="223">
        <v>7</v>
      </c>
      <c r="E983" s="223">
        <v>230040</v>
      </c>
    </row>
    <row r="984" spans="1:5" ht="15">
      <c r="A984" s="223" t="s">
        <v>133</v>
      </c>
      <c r="B984" s="223">
        <v>21</v>
      </c>
      <c r="C984" s="223">
        <v>27</v>
      </c>
      <c r="D984" s="223">
        <v>2</v>
      </c>
      <c r="E984" s="223">
        <v>387792</v>
      </c>
    </row>
    <row r="985" spans="1:5" ht="15">
      <c r="A985" s="223" t="s">
        <v>133</v>
      </c>
      <c r="B985" s="223">
        <v>21</v>
      </c>
      <c r="C985" s="223">
        <v>27</v>
      </c>
      <c r="D985" s="223">
        <v>3</v>
      </c>
      <c r="E985" s="223">
        <v>219254</v>
      </c>
    </row>
    <row r="986" spans="1:5" ht="15">
      <c r="A986" s="223" t="s">
        <v>133</v>
      </c>
      <c r="B986" s="223">
        <v>21</v>
      </c>
      <c r="C986" s="223">
        <v>27</v>
      </c>
      <c r="D986" s="223">
        <v>4</v>
      </c>
      <c r="E986" s="223">
        <v>313527</v>
      </c>
    </row>
    <row r="987" spans="1:5" ht="15">
      <c r="A987" s="223" t="s">
        <v>133</v>
      </c>
      <c r="B987" s="223">
        <v>21</v>
      </c>
      <c r="C987" s="223">
        <v>27</v>
      </c>
      <c r="D987" s="223">
        <v>7</v>
      </c>
      <c r="E987" s="223">
        <v>105000</v>
      </c>
    </row>
    <row r="988" spans="1:5" ht="15">
      <c r="A988" s="223" t="s">
        <v>133</v>
      </c>
      <c r="B988" s="223">
        <v>21</v>
      </c>
      <c r="C988" s="223">
        <v>31</v>
      </c>
      <c r="D988" s="223">
        <v>2</v>
      </c>
      <c r="E988" s="223">
        <v>5824</v>
      </c>
    </row>
    <row r="989" spans="1:5" ht="15">
      <c r="A989" s="223" t="s">
        <v>133</v>
      </c>
      <c r="B989" s="223">
        <v>21</v>
      </c>
      <c r="C989" s="223">
        <v>31</v>
      </c>
      <c r="D989" s="223">
        <v>4</v>
      </c>
      <c r="E989" s="223">
        <v>1413</v>
      </c>
    </row>
    <row r="990" spans="1:5" ht="15">
      <c r="A990" s="223" t="s">
        <v>133</v>
      </c>
      <c r="B990" s="223">
        <v>21</v>
      </c>
      <c r="C990" s="223">
        <v>31</v>
      </c>
      <c r="D990" s="223">
        <v>5</v>
      </c>
      <c r="E990" s="223">
        <v>1000</v>
      </c>
    </row>
    <row r="991" spans="1:5" ht="15">
      <c r="A991" s="223" t="s">
        <v>133</v>
      </c>
      <c r="B991" s="223">
        <v>21</v>
      </c>
      <c r="C991" s="223">
        <v>31</v>
      </c>
      <c r="D991" s="223">
        <v>7</v>
      </c>
      <c r="E991" s="223">
        <v>5000</v>
      </c>
    </row>
    <row r="992" spans="1:5" ht="15">
      <c r="A992" s="223" t="s">
        <v>133</v>
      </c>
      <c r="B992" s="223">
        <v>21</v>
      </c>
      <c r="C992" s="223">
        <v>31</v>
      </c>
      <c r="D992" s="223">
        <v>8</v>
      </c>
      <c r="E992" s="223">
        <v>2500</v>
      </c>
    </row>
    <row r="993" spans="1:5" ht="15">
      <c r="A993" s="223" t="s">
        <v>133</v>
      </c>
      <c r="B993" s="223">
        <v>21</v>
      </c>
      <c r="C993" s="223">
        <v>34</v>
      </c>
      <c r="D993" s="223">
        <v>2</v>
      </c>
      <c r="E993" s="223">
        <v>8736</v>
      </c>
    </row>
    <row r="994" spans="1:5" ht="15">
      <c r="A994" s="223" t="s">
        <v>133</v>
      </c>
      <c r="B994" s="223">
        <v>21</v>
      </c>
      <c r="C994" s="223">
        <v>34</v>
      </c>
      <c r="D994" s="223">
        <v>4</v>
      </c>
      <c r="E994" s="223">
        <v>2120</v>
      </c>
    </row>
    <row r="995" spans="1:5" ht="15">
      <c r="A995" s="223" t="s">
        <v>133</v>
      </c>
      <c r="B995" s="223">
        <v>24</v>
      </c>
      <c r="C995" s="223">
        <v>21</v>
      </c>
      <c r="D995" s="223">
        <v>5</v>
      </c>
      <c r="E995" s="223">
        <v>4500</v>
      </c>
    </row>
    <row r="996" spans="1:5" ht="15">
      <c r="A996" s="223" t="s">
        <v>133</v>
      </c>
      <c r="B996" s="223">
        <v>24</v>
      </c>
      <c r="C996" s="223">
        <v>21</v>
      </c>
      <c r="D996" s="223">
        <v>7</v>
      </c>
      <c r="E996" s="223">
        <v>55440</v>
      </c>
    </row>
    <row r="997" spans="1:5" ht="15">
      <c r="A997" s="223" t="s">
        <v>133</v>
      </c>
      <c r="B997" s="223">
        <v>24</v>
      </c>
      <c r="C997" s="223">
        <v>26</v>
      </c>
      <c r="D997" s="223">
        <v>5</v>
      </c>
      <c r="E997" s="223">
        <v>2212</v>
      </c>
    </row>
    <row r="998" spans="1:5" ht="15">
      <c r="A998" s="223" t="s">
        <v>133</v>
      </c>
      <c r="B998" s="223">
        <v>24</v>
      </c>
      <c r="C998" s="223">
        <v>26</v>
      </c>
      <c r="D998" s="223">
        <v>7</v>
      </c>
      <c r="E998" s="223">
        <v>92656</v>
      </c>
    </row>
    <row r="999" spans="1:5" ht="15">
      <c r="A999" s="223" t="s">
        <v>133</v>
      </c>
      <c r="B999" s="223">
        <v>24</v>
      </c>
      <c r="C999" s="223">
        <v>27</v>
      </c>
      <c r="D999" s="223">
        <v>3</v>
      </c>
      <c r="E999" s="223">
        <v>52903</v>
      </c>
    </row>
    <row r="1000" spans="1:5" ht="15">
      <c r="A1000" s="223" t="s">
        <v>133</v>
      </c>
      <c r="B1000" s="223">
        <v>24</v>
      </c>
      <c r="C1000" s="223">
        <v>27</v>
      </c>
      <c r="D1000" s="223">
        <v>4</v>
      </c>
      <c r="E1000" s="223">
        <v>38289</v>
      </c>
    </row>
    <row r="1001" spans="1:5" ht="15">
      <c r="A1001" s="223" t="s">
        <v>133</v>
      </c>
      <c r="B1001" s="223">
        <v>24</v>
      </c>
      <c r="C1001" s="223">
        <v>27</v>
      </c>
      <c r="D1001" s="223">
        <v>5</v>
      </c>
      <c r="E1001" s="223">
        <v>3450</v>
      </c>
    </row>
    <row r="1002" spans="1:5" ht="15">
      <c r="A1002" s="223" t="s">
        <v>133</v>
      </c>
      <c r="B1002" s="223">
        <v>24</v>
      </c>
      <c r="C1002" s="223">
        <v>27</v>
      </c>
      <c r="D1002" s="223">
        <v>7</v>
      </c>
      <c r="E1002" s="223">
        <v>11336</v>
      </c>
    </row>
    <row r="1003" spans="1:5" ht="15">
      <c r="A1003" s="223" t="s">
        <v>133</v>
      </c>
      <c r="B1003" s="223">
        <v>24</v>
      </c>
      <c r="C1003" s="223">
        <v>31</v>
      </c>
      <c r="D1003" s="223">
        <v>5</v>
      </c>
      <c r="E1003" s="223">
        <v>500</v>
      </c>
    </row>
    <row r="1004" spans="1:5" ht="15">
      <c r="A1004" s="223" t="s">
        <v>133</v>
      </c>
      <c r="B1004" s="223">
        <v>24</v>
      </c>
      <c r="C1004" s="223">
        <v>31</v>
      </c>
      <c r="D1004" s="223">
        <v>7</v>
      </c>
      <c r="E1004" s="223">
        <v>6000</v>
      </c>
    </row>
    <row r="1005" spans="1:5" ht="15">
      <c r="A1005" s="223" t="s">
        <v>133</v>
      </c>
      <c r="B1005" s="223">
        <v>24</v>
      </c>
      <c r="C1005" s="223">
        <v>31</v>
      </c>
      <c r="D1005" s="223">
        <v>8</v>
      </c>
      <c r="E1005" s="223">
        <v>980</v>
      </c>
    </row>
    <row r="1006" spans="1:5" ht="15">
      <c r="A1006" s="223" t="s">
        <v>134</v>
      </c>
      <c r="B1006" s="223">
        <v>21</v>
      </c>
      <c r="C1006" s="223">
        <v>21</v>
      </c>
      <c r="D1006" s="223">
        <v>2</v>
      </c>
      <c r="E1006" s="223">
        <v>90665</v>
      </c>
    </row>
    <row r="1007" spans="1:5" ht="15">
      <c r="A1007" s="223" t="s">
        <v>134</v>
      </c>
      <c r="B1007" s="223">
        <v>21</v>
      </c>
      <c r="C1007" s="223">
        <v>21</v>
      </c>
      <c r="D1007" s="223">
        <v>3</v>
      </c>
      <c r="E1007" s="223">
        <v>65655</v>
      </c>
    </row>
    <row r="1008" spans="1:5" ht="15">
      <c r="A1008" s="223" t="s">
        <v>134</v>
      </c>
      <c r="B1008" s="223">
        <v>21</v>
      </c>
      <c r="C1008" s="223">
        <v>21</v>
      </c>
      <c r="D1008" s="223">
        <v>4</v>
      </c>
      <c r="E1008" s="223">
        <v>56959</v>
      </c>
    </row>
    <row r="1009" spans="1:5" ht="15">
      <c r="A1009" s="223" t="s">
        <v>134</v>
      </c>
      <c r="B1009" s="223">
        <v>21</v>
      </c>
      <c r="C1009" s="223">
        <v>21</v>
      </c>
      <c r="D1009" s="223">
        <v>5</v>
      </c>
      <c r="E1009" s="223">
        <v>1000</v>
      </c>
    </row>
    <row r="1010" spans="1:5" ht="15">
      <c r="A1010" s="223" t="s">
        <v>134</v>
      </c>
      <c r="B1010" s="223">
        <v>21</v>
      </c>
      <c r="C1010" s="223">
        <v>26</v>
      </c>
      <c r="D1010" s="223">
        <v>2</v>
      </c>
      <c r="E1010" s="223">
        <v>329712</v>
      </c>
    </row>
    <row r="1011" spans="1:5" ht="15">
      <c r="A1011" s="223" t="s">
        <v>134</v>
      </c>
      <c r="B1011" s="223">
        <v>21</v>
      </c>
      <c r="C1011" s="223">
        <v>26</v>
      </c>
      <c r="D1011" s="223">
        <v>3</v>
      </c>
      <c r="E1011" s="223">
        <v>64034</v>
      </c>
    </row>
    <row r="1012" spans="1:5" ht="15">
      <c r="A1012" s="223" t="s">
        <v>134</v>
      </c>
      <c r="B1012" s="223">
        <v>21</v>
      </c>
      <c r="C1012" s="223">
        <v>26</v>
      </c>
      <c r="D1012" s="223">
        <v>4</v>
      </c>
      <c r="E1012" s="223">
        <v>151190</v>
      </c>
    </row>
    <row r="1013" spans="1:5" ht="15">
      <c r="A1013" s="223" t="s">
        <v>134</v>
      </c>
      <c r="B1013" s="223">
        <v>21</v>
      </c>
      <c r="C1013" s="223">
        <v>26</v>
      </c>
      <c r="D1013" s="223">
        <v>5</v>
      </c>
      <c r="E1013" s="223">
        <v>20400</v>
      </c>
    </row>
    <row r="1014" spans="1:5" ht="15">
      <c r="A1014" s="223" t="s">
        <v>134</v>
      </c>
      <c r="B1014" s="223">
        <v>21</v>
      </c>
      <c r="C1014" s="223">
        <v>26</v>
      </c>
      <c r="D1014" s="223">
        <v>7</v>
      </c>
      <c r="E1014" s="223">
        <v>143000</v>
      </c>
    </row>
    <row r="1015" spans="1:5" ht="15">
      <c r="A1015" s="223" t="s">
        <v>134</v>
      </c>
      <c r="B1015" s="223">
        <v>21</v>
      </c>
      <c r="C1015" s="223">
        <v>26</v>
      </c>
      <c r="D1015" s="223">
        <v>8</v>
      </c>
      <c r="E1015" s="223">
        <v>1000</v>
      </c>
    </row>
    <row r="1016" spans="1:5" ht="15">
      <c r="A1016" s="223" t="s">
        <v>134</v>
      </c>
      <c r="B1016" s="223">
        <v>21</v>
      </c>
      <c r="C1016" s="223">
        <v>27</v>
      </c>
      <c r="D1016" s="223">
        <v>2</v>
      </c>
      <c r="E1016" s="223">
        <v>687917</v>
      </c>
    </row>
    <row r="1017" spans="1:5" ht="15">
      <c r="A1017" s="223" t="s">
        <v>134</v>
      </c>
      <c r="B1017" s="223">
        <v>21</v>
      </c>
      <c r="C1017" s="223">
        <v>27</v>
      </c>
      <c r="D1017" s="223">
        <v>3</v>
      </c>
      <c r="E1017" s="223">
        <v>467451</v>
      </c>
    </row>
    <row r="1018" spans="1:5" ht="15">
      <c r="A1018" s="223" t="s">
        <v>134</v>
      </c>
      <c r="B1018" s="223">
        <v>21</v>
      </c>
      <c r="C1018" s="223">
        <v>27</v>
      </c>
      <c r="D1018" s="223">
        <v>4</v>
      </c>
      <c r="E1018" s="223">
        <v>624852</v>
      </c>
    </row>
    <row r="1019" spans="1:5" ht="15">
      <c r="A1019" s="223" t="s">
        <v>134</v>
      </c>
      <c r="B1019" s="223">
        <v>21</v>
      </c>
      <c r="C1019" s="223">
        <v>27</v>
      </c>
      <c r="D1019" s="223">
        <v>5</v>
      </c>
      <c r="E1019" s="223">
        <v>20000</v>
      </c>
    </row>
    <row r="1020" spans="1:5" ht="15">
      <c r="A1020" s="223" t="s">
        <v>134</v>
      </c>
      <c r="B1020" s="223">
        <v>21</v>
      </c>
      <c r="C1020" s="223">
        <v>27</v>
      </c>
      <c r="D1020" s="223">
        <v>7</v>
      </c>
      <c r="E1020" s="223">
        <v>1500</v>
      </c>
    </row>
    <row r="1021" spans="1:5" ht="15">
      <c r="A1021" s="223" t="s">
        <v>134</v>
      </c>
      <c r="B1021" s="223">
        <v>21</v>
      </c>
      <c r="C1021" s="223">
        <v>31</v>
      </c>
      <c r="D1021" s="223">
        <v>5</v>
      </c>
      <c r="E1021" s="223">
        <v>2000</v>
      </c>
    </row>
    <row r="1022" spans="1:5" ht="15">
      <c r="A1022" s="223" t="s">
        <v>134</v>
      </c>
      <c r="B1022" s="223">
        <v>21</v>
      </c>
      <c r="C1022" s="223">
        <v>33</v>
      </c>
      <c r="D1022" s="223">
        <v>5</v>
      </c>
      <c r="E1022" s="223">
        <v>7350</v>
      </c>
    </row>
    <row r="1023" spans="1:5" ht="15">
      <c r="A1023" s="223" t="s">
        <v>134</v>
      </c>
      <c r="B1023" s="223">
        <v>21</v>
      </c>
      <c r="C1023" s="223">
        <v>33</v>
      </c>
      <c r="D1023" s="223">
        <v>7</v>
      </c>
      <c r="E1023" s="223">
        <v>1250</v>
      </c>
    </row>
    <row r="1024" spans="1:5" ht="15">
      <c r="A1024" s="223" t="s">
        <v>134</v>
      </c>
      <c r="B1024" s="223">
        <v>21</v>
      </c>
      <c r="C1024" s="223">
        <v>33</v>
      </c>
      <c r="D1024" s="223">
        <v>8</v>
      </c>
      <c r="E1024" s="223">
        <v>2500</v>
      </c>
    </row>
    <row r="1025" spans="1:5" ht="15">
      <c r="A1025" s="223" t="s">
        <v>134</v>
      </c>
      <c r="B1025" s="223">
        <v>21</v>
      </c>
      <c r="C1025" s="223">
        <v>34</v>
      </c>
      <c r="D1025" s="223">
        <v>2</v>
      </c>
      <c r="E1025" s="223">
        <v>20553</v>
      </c>
    </row>
    <row r="1026" spans="1:5" ht="15">
      <c r="A1026" s="223" t="s">
        <v>134</v>
      </c>
      <c r="B1026" s="223">
        <v>21</v>
      </c>
      <c r="C1026" s="223">
        <v>34</v>
      </c>
      <c r="D1026" s="223">
        <v>4</v>
      </c>
      <c r="E1026" s="223">
        <v>4714</v>
      </c>
    </row>
    <row r="1027" spans="1:5" ht="15">
      <c r="A1027" s="223" t="s">
        <v>134</v>
      </c>
      <c r="B1027" s="223">
        <v>24</v>
      </c>
      <c r="C1027" s="223">
        <v>26</v>
      </c>
      <c r="D1027" s="223">
        <v>2</v>
      </c>
      <c r="E1027" s="223">
        <v>133267</v>
      </c>
    </row>
    <row r="1028" spans="1:5" ht="15">
      <c r="A1028" s="223" t="s">
        <v>134</v>
      </c>
      <c r="B1028" s="223">
        <v>24</v>
      </c>
      <c r="C1028" s="223">
        <v>26</v>
      </c>
      <c r="D1028" s="223">
        <v>4</v>
      </c>
      <c r="E1028" s="223">
        <v>55786</v>
      </c>
    </row>
    <row r="1029" spans="1:5" ht="15">
      <c r="A1029" s="223" t="s">
        <v>134</v>
      </c>
      <c r="B1029" s="223">
        <v>24</v>
      </c>
      <c r="C1029" s="223">
        <v>27</v>
      </c>
      <c r="D1029" s="223">
        <v>2</v>
      </c>
      <c r="E1029" s="223">
        <v>161816</v>
      </c>
    </row>
    <row r="1030" spans="1:5" ht="15">
      <c r="A1030" s="223" t="s">
        <v>134</v>
      </c>
      <c r="B1030" s="223">
        <v>24</v>
      </c>
      <c r="C1030" s="223">
        <v>27</v>
      </c>
      <c r="D1030" s="223">
        <v>4</v>
      </c>
      <c r="E1030" s="223">
        <v>62248</v>
      </c>
    </row>
    <row r="1031" spans="1:5" ht="15">
      <c r="A1031" s="223" t="s">
        <v>134</v>
      </c>
      <c r="B1031" s="223">
        <v>24</v>
      </c>
      <c r="C1031" s="223">
        <v>31</v>
      </c>
      <c r="D1031" s="223">
        <v>2</v>
      </c>
      <c r="E1031" s="223">
        <v>6711</v>
      </c>
    </row>
    <row r="1032" spans="1:5" ht="15">
      <c r="A1032" s="223" t="s">
        <v>134</v>
      </c>
      <c r="B1032" s="223">
        <v>24</v>
      </c>
      <c r="C1032" s="223">
        <v>31</v>
      </c>
      <c r="D1032" s="223">
        <v>4</v>
      </c>
      <c r="E1032" s="223">
        <v>1539</v>
      </c>
    </row>
    <row r="1033" spans="1:5" ht="15">
      <c r="A1033" s="223" t="s">
        <v>136</v>
      </c>
      <c r="B1033" s="223">
        <v>21</v>
      </c>
      <c r="C1033" s="223">
        <v>21</v>
      </c>
      <c r="D1033" s="223">
        <v>2</v>
      </c>
      <c r="E1033" s="223">
        <v>95682</v>
      </c>
    </row>
    <row r="1034" spans="1:5" ht="15">
      <c r="A1034" s="223" t="s">
        <v>136</v>
      </c>
      <c r="B1034" s="223">
        <v>21</v>
      </c>
      <c r="C1034" s="223">
        <v>21</v>
      </c>
      <c r="D1034" s="223">
        <v>3</v>
      </c>
      <c r="E1034" s="223">
        <v>21564</v>
      </c>
    </row>
    <row r="1035" spans="1:5" ht="15">
      <c r="A1035" s="223" t="s">
        <v>136</v>
      </c>
      <c r="B1035" s="223">
        <v>21</v>
      </c>
      <c r="C1035" s="223">
        <v>21</v>
      </c>
      <c r="D1035" s="223">
        <v>4</v>
      </c>
      <c r="E1035" s="223">
        <v>41083</v>
      </c>
    </row>
    <row r="1036" spans="1:5" ht="15">
      <c r="A1036" s="223" t="s">
        <v>136</v>
      </c>
      <c r="B1036" s="223">
        <v>21</v>
      </c>
      <c r="C1036" s="223">
        <v>21</v>
      </c>
      <c r="D1036" s="223">
        <v>5</v>
      </c>
      <c r="E1036" s="223">
        <v>200</v>
      </c>
    </row>
    <row r="1037" spans="1:5" ht="15">
      <c r="A1037" s="223" t="s">
        <v>136</v>
      </c>
      <c r="B1037" s="223">
        <v>21</v>
      </c>
      <c r="C1037" s="223">
        <v>21</v>
      </c>
      <c r="D1037" s="223">
        <v>7</v>
      </c>
      <c r="E1037" s="223">
        <v>1700</v>
      </c>
    </row>
    <row r="1038" spans="1:5" ht="15">
      <c r="A1038" s="223" t="s">
        <v>136</v>
      </c>
      <c r="B1038" s="223">
        <v>21</v>
      </c>
      <c r="C1038" s="223">
        <v>25</v>
      </c>
      <c r="D1038" s="223">
        <v>5</v>
      </c>
      <c r="E1038" s="223">
        <v>2000</v>
      </c>
    </row>
    <row r="1039" spans="1:5" ht="15">
      <c r="A1039" s="223" t="s">
        <v>136</v>
      </c>
      <c r="B1039" s="223">
        <v>21</v>
      </c>
      <c r="C1039" s="223">
        <v>26</v>
      </c>
      <c r="D1039" s="223">
        <v>5</v>
      </c>
      <c r="E1039" s="223">
        <v>1000</v>
      </c>
    </row>
    <row r="1040" spans="1:5" ht="15">
      <c r="A1040" s="223" t="s">
        <v>136</v>
      </c>
      <c r="B1040" s="223">
        <v>21</v>
      </c>
      <c r="C1040" s="223">
        <v>26</v>
      </c>
      <c r="D1040" s="223">
        <v>7</v>
      </c>
      <c r="E1040" s="223">
        <v>77050</v>
      </c>
    </row>
    <row r="1041" spans="1:5" ht="15">
      <c r="A1041" s="223" t="s">
        <v>136</v>
      </c>
      <c r="B1041" s="223">
        <v>21</v>
      </c>
      <c r="C1041" s="223">
        <v>27</v>
      </c>
      <c r="D1041" s="223">
        <v>2</v>
      </c>
      <c r="E1041" s="223">
        <v>360643</v>
      </c>
    </row>
    <row r="1042" spans="1:5" ht="15">
      <c r="A1042" s="223" t="s">
        <v>136</v>
      </c>
      <c r="B1042" s="223">
        <v>21</v>
      </c>
      <c r="C1042" s="223">
        <v>27</v>
      </c>
      <c r="D1042" s="223">
        <v>3</v>
      </c>
      <c r="E1042" s="223">
        <v>471896</v>
      </c>
    </row>
    <row r="1043" spans="1:5" ht="15">
      <c r="A1043" s="223" t="s">
        <v>136</v>
      </c>
      <c r="B1043" s="223">
        <v>21</v>
      </c>
      <c r="C1043" s="223">
        <v>27</v>
      </c>
      <c r="D1043" s="223">
        <v>4</v>
      </c>
      <c r="E1043" s="223">
        <v>422492</v>
      </c>
    </row>
    <row r="1044" spans="1:5" ht="15">
      <c r="A1044" s="223" t="s">
        <v>136</v>
      </c>
      <c r="B1044" s="223">
        <v>21</v>
      </c>
      <c r="C1044" s="223">
        <v>27</v>
      </c>
      <c r="D1044" s="223">
        <v>5</v>
      </c>
      <c r="E1044" s="223">
        <v>3000</v>
      </c>
    </row>
    <row r="1045" spans="1:5" ht="15">
      <c r="A1045" s="223" t="s">
        <v>136</v>
      </c>
      <c r="B1045" s="223">
        <v>21</v>
      </c>
      <c r="C1045" s="223">
        <v>27</v>
      </c>
      <c r="D1045" s="223">
        <v>7</v>
      </c>
      <c r="E1045" s="223">
        <v>112400</v>
      </c>
    </row>
    <row r="1046" spans="1:5" ht="15">
      <c r="A1046" s="223" t="s">
        <v>136</v>
      </c>
      <c r="B1046" s="223">
        <v>21</v>
      </c>
      <c r="C1046" s="223">
        <v>29</v>
      </c>
      <c r="D1046" s="223">
        <v>7</v>
      </c>
      <c r="E1046" s="223">
        <v>17000</v>
      </c>
    </row>
    <row r="1047" spans="1:5" ht="15">
      <c r="A1047" s="223" t="s">
        <v>136</v>
      </c>
      <c r="B1047" s="223">
        <v>21</v>
      </c>
      <c r="C1047" s="223">
        <v>31</v>
      </c>
      <c r="D1047" s="223">
        <v>2</v>
      </c>
      <c r="E1047" s="223">
        <v>2576</v>
      </c>
    </row>
    <row r="1048" spans="1:5" ht="15">
      <c r="A1048" s="223" t="s">
        <v>136</v>
      </c>
      <c r="B1048" s="223">
        <v>21</v>
      </c>
      <c r="C1048" s="223">
        <v>31</v>
      </c>
      <c r="D1048" s="223">
        <v>3</v>
      </c>
      <c r="E1048" s="223">
        <v>2808</v>
      </c>
    </row>
    <row r="1049" spans="1:5" ht="15">
      <c r="A1049" s="223" t="s">
        <v>136</v>
      </c>
      <c r="B1049" s="223">
        <v>21</v>
      </c>
      <c r="C1049" s="223">
        <v>31</v>
      </c>
      <c r="D1049" s="223">
        <v>4</v>
      </c>
      <c r="E1049" s="223">
        <v>790</v>
      </c>
    </row>
    <row r="1050" spans="1:5" ht="15">
      <c r="A1050" s="223" t="s">
        <v>136</v>
      </c>
      <c r="B1050" s="223">
        <v>21</v>
      </c>
      <c r="C1050" s="223">
        <v>31</v>
      </c>
      <c r="D1050" s="223">
        <v>5</v>
      </c>
      <c r="E1050" s="223">
        <v>750</v>
      </c>
    </row>
    <row r="1051" spans="1:5" ht="15">
      <c r="A1051" s="223" t="s">
        <v>136</v>
      </c>
      <c r="B1051" s="223">
        <v>21</v>
      </c>
      <c r="C1051" s="223">
        <v>31</v>
      </c>
      <c r="D1051" s="223">
        <v>7</v>
      </c>
      <c r="E1051" s="223">
        <v>1000</v>
      </c>
    </row>
    <row r="1052" spans="1:5" ht="15">
      <c r="A1052" s="223" t="s">
        <v>136</v>
      </c>
      <c r="B1052" s="223">
        <v>21</v>
      </c>
      <c r="C1052" s="223">
        <v>33</v>
      </c>
      <c r="D1052" s="223">
        <v>7</v>
      </c>
      <c r="E1052" s="223">
        <v>7500</v>
      </c>
    </row>
    <row r="1053" spans="1:5" ht="15">
      <c r="A1053" s="223" t="s">
        <v>136</v>
      </c>
      <c r="B1053" s="223">
        <v>21</v>
      </c>
      <c r="C1053" s="223">
        <v>34</v>
      </c>
      <c r="D1053" s="223">
        <v>2</v>
      </c>
      <c r="E1053" s="223">
        <v>6733</v>
      </c>
    </row>
    <row r="1054" spans="1:5" ht="15">
      <c r="A1054" s="223" t="s">
        <v>136</v>
      </c>
      <c r="B1054" s="223">
        <v>21</v>
      </c>
      <c r="C1054" s="223">
        <v>34</v>
      </c>
      <c r="D1054" s="223">
        <v>4</v>
      </c>
      <c r="E1054" s="223">
        <v>1546</v>
      </c>
    </row>
    <row r="1055" spans="1:5" ht="15">
      <c r="A1055" s="223" t="s">
        <v>136</v>
      </c>
      <c r="B1055" s="223">
        <v>24</v>
      </c>
      <c r="C1055" s="223">
        <v>26</v>
      </c>
      <c r="D1055" s="223">
        <v>5</v>
      </c>
      <c r="E1055" s="223">
        <v>6000</v>
      </c>
    </row>
    <row r="1056" spans="1:5" ht="15">
      <c r="A1056" s="223" t="s">
        <v>136</v>
      </c>
      <c r="B1056" s="223">
        <v>24</v>
      </c>
      <c r="C1056" s="223">
        <v>26</v>
      </c>
      <c r="D1056" s="223">
        <v>7</v>
      </c>
      <c r="E1056" s="223">
        <v>106084</v>
      </c>
    </row>
    <row r="1057" spans="1:5" ht="15">
      <c r="A1057" s="223" t="s">
        <v>136</v>
      </c>
      <c r="B1057" s="223">
        <v>24</v>
      </c>
      <c r="C1057" s="223">
        <v>27</v>
      </c>
      <c r="D1057" s="223">
        <v>5</v>
      </c>
      <c r="E1057" s="223">
        <v>24984</v>
      </c>
    </row>
    <row r="1058" spans="1:5" ht="15">
      <c r="A1058" s="223" t="s">
        <v>136</v>
      </c>
      <c r="B1058" s="223">
        <v>24</v>
      </c>
      <c r="C1058" s="223">
        <v>27</v>
      </c>
      <c r="D1058" s="223">
        <v>7</v>
      </c>
      <c r="E1058" s="223">
        <v>2000</v>
      </c>
    </row>
    <row r="1059" spans="1:5" ht="15">
      <c r="A1059" s="223" t="s">
        <v>138</v>
      </c>
      <c r="B1059" s="223">
        <v>21</v>
      </c>
      <c r="C1059" s="223">
        <v>21</v>
      </c>
      <c r="D1059" s="223">
        <v>3</v>
      </c>
      <c r="E1059" s="223">
        <v>7414</v>
      </c>
    </row>
    <row r="1060" spans="1:5" ht="15">
      <c r="A1060" s="223" t="s">
        <v>138</v>
      </c>
      <c r="B1060" s="223">
        <v>21</v>
      </c>
      <c r="C1060" s="223">
        <v>21</v>
      </c>
      <c r="D1060" s="223">
        <v>4</v>
      </c>
      <c r="E1060" s="223">
        <v>2737</v>
      </c>
    </row>
    <row r="1061" spans="1:5" ht="15">
      <c r="A1061" s="223" t="s">
        <v>138</v>
      </c>
      <c r="B1061" s="223">
        <v>21</v>
      </c>
      <c r="C1061" s="223">
        <v>21</v>
      </c>
      <c r="D1061" s="223">
        <v>5</v>
      </c>
      <c r="E1061" s="223">
        <v>300</v>
      </c>
    </row>
    <row r="1062" spans="1:5" ht="15">
      <c r="A1062" s="223" t="s">
        <v>138</v>
      </c>
      <c r="B1062" s="223">
        <v>21</v>
      </c>
      <c r="C1062" s="223">
        <v>26</v>
      </c>
      <c r="D1062" s="223">
        <v>4</v>
      </c>
      <c r="E1062" s="223">
        <v>6</v>
      </c>
    </row>
    <row r="1063" spans="1:5" ht="15">
      <c r="A1063" s="223" t="s">
        <v>138</v>
      </c>
      <c r="B1063" s="223">
        <v>21</v>
      </c>
      <c r="C1063" s="223">
        <v>26</v>
      </c>
      <c r="D1063" s="223">
        <v>5</v>
      </c>
      <c r="E1063" s="223">
        <v>500</v>
      </c>
    </row>
    <row r="1064" spans="1:5" ht="15">
      <c r="A1064" s="223" t="s">
        <v>138</v>
      </c>
      <c r="B1064" s="223">
        <v>21</v>
      </c>
      <c r="C1064" s="223">
        <v>26</v>
      </c>
      <c r="D1064" s="223">
        <v>7</v>
      </c>
      <c r="E1064" s="223">
        <v>48000</v>
      </c>
    </row>
    <row r="1065" spans="1:5" ht="15">
      <c r="A1065" s="223" t="s">
        <v>138</v>
      </c>
      <c r="B1065" s="223">
        <v>21</v>
      </c>
      <c r="C1065" s="223">
        <v>27</v>
      </c>
      <c r="D1065" s="223">
        <v>2</v>
      </c>
      <c r="E1065" s="223">
        <v>196624</v>
      </c>
    </row>
    <row r="1066" spans="1:5" ht="15">
      <c r="A1066" s="223" t="s">
        <v>138</v>
      </c>
      <c r="B1066" s="223">
        <v>21</v>
      </c>
      <c r="C1066" s="223">
        <v>27</v>
      </c>
      <c r="D1066" s="223">
        <v>3</v>
      </c>
      <c r="E1066" s="223">
        <v>139120</v>
      </c>
    </row>
    <row r="1067" spans="1:5" ht="15">
      <c r="A1067" s="223" t="s">
        <v>138</v>
      </c>
      <c r="B1067" s="223">
        <v>21</v>
      </c>
      <c r="C1067" s="223">
        <v>27</v>
      </c>
      <c r="D1067" s="223">
        <v>4</v>
      </c>
      <c r="E1067" s="223">
        <v>154435</v>
      </c>
    </row>
    <row r="1068" spans="1:5" ht="15">
      <c r="A1068" s="223" t="s">
        <v>138</v>
      </c>
      <c r="B1068" s="223">
        <v>21</v>
      </c>
      <c r="C1068" s="223">
        <v>27</v>
      </c>
      <c r="D1068" s="223">
        <v>5</v>
      </c>
      <c r="E1068" s="223">
        <v>1000</v>
      </c>
    </row>
    <row r="1069" spans="1:5" ht="15">
      <c r="A1069" s="223" t="s">
        <v>138</v>
      </c>
      <c r="B1069" s="223">
        <v>21</v>
      </c>
      <c r="C1069" s="223">
        <v>27</v>
      </c>
      <c r="D1069" s="223">
        <v>7</v>
      </c>
      <c r="E1069" s="223">
        <v>164300</v>
      </c>
    </row>
    <row r="1070" spans="1:5" ht="15">
      <c r="A1070" s="223" t="s">
        <v>138</v>
      </c>
      <c r="B1070" s="223">
        <v>21</v>
      </c>
      <c r="C1070" s="223">
        <v>29</v>
      </c>
      <c r="D1070" s="223">
        <v>7</v>
      </c>
      <c r="E1070" s="223">
        <v>35000</v>
      </c>
    </row>
    <row r="1071" spans="1:5" ht="15">
      <c r="A1071" s="223" t="s">
        <v>138</v>
      </c>
      <c r="B1071" s="223">
        <v>21</v>
      </c>
      <c r="C1071" s="223">
        <v>31</v>
      </c>
      <c r="D1071" s="223">
        <v>2</v>
      </c>
      <c r="E1071" s="223">
        <v>1894</v>
      </c>
    </row>
    <row r="1072" spans="1:5" ht="15">
      <c r="A1072" s="223" t="s">
        <v>138</v>
      </c>
      <c r="B1072" s="223">
        <v>21</v>
      </c>
      <c r="C1072" s="223">
        <v>31</v>
      </c>
      <c r="D1072" s="223">
        <v>3</v>
      </c>
      <c r="E1072" s="223">
        <v>3338</v>
      </c>
    </row>
    <row r="1073" spans="1:5" ht="15">
      <c r="A1073" s="223" t="s">
        <v>138</v>
      </c>
      <c r="B1073" s="223">
        <v>21</v>
      </c>
      <c r="C1073" s="223">
        <v>31</v>
      </c>
      <c r="D1073" s="223">
        <v>4</v>
      </c>
      <c r="E1073" s="223">
        <v>2618</v>
      </c>
    </row>
    <row r="1074" spans="1:5" ht="15">
      <c r="A1074" s="223" t="s">
        <v>138</v>
      </c>
      <c r="B1074" s="223">
        <v>21</v>
      </c>
      <c r="C1074" s="223">
        <v>31</v>
      </c>
      <c r="D1074" s="223">
        <v>8</v>
      </c>
      <c r="E1074" s="223">
        <v>100</v>
      </c>
    </row>
    <row r="1075" spans="1:5" ht="15">
      <c r="A1075" s="223" t="s">
        <v>138</v>
      </c>
      <c r="B1075" s="223">
        <v>21</v>
      </c>
      <c r="C1075" s="223">
        <v>33</v>
      </c>
      <c r="D1075" s="223">
        <v>5</v>
      </c>
      <c r="E1075" s="223">
        <v>500</v>
      </c>
    </row>
    <row r="1076" spans="1:5" ht="15">
      <c r="A1076" s="223" t="s">
        <v>138</v>
      </c>
      <c r="B1076" s="223">
        <v>24</v>
      </c>
      <c r="C1076" s="223">
        <v>26</v>
      </c>
      <c r="D1076" s="223">
        <v>7</v>
      </c>
      <c r="E1076" s="223">
        <v>76601</v>
      </c>
    </row>
    <row r="1077" spans="1:5" ht="15">
      <c r="A1077" s="223" t="s">
        <v>140</v>
      </c>
      <c r="B1077" s="223">
        <v>21</v>
      </c>
      <c r="C1077" s="223">
        <v>26</v>
      </c>
      <c r="D1077" s="223">
        <v>7</v>
      </c>
      <c r="E1077" s="223">
        <v>44460</v>
      </c>
    </row>
    <row r="1078" spans="1:5" ht="15">
      <c r="A1078" s="223" t="s">
        <v>140</v>
      </c>
      <c r="B1078" s="223">
        <v>21</v>
      </c>
      <c r="C1078" s="223">
        <v>27</v>
      </c>
      <c r="D1078" s="223">
        <v>2</v>
      </c>
      <c r="E1078" s="223">
        <v>15357</v>
      </c>
    </row>
    <row r="1079" spans="1:5" ht="15">
      <c r="A1079" s="223" t="s">
        <v>140</v>
      </c>
      <c r="B1079" s="223">
        <v>21</v>
      </c>
      <c r="C1079" s="223">
        <v>27</v>
      </c>
      <c r="D1079" s="223">
        <v>3</v>
      </c>
      <c r="E1079" s="223">
        <v>93700</v>
      </c>
    </row>
    <row r="1080" spans="1:5" ht="15">
      <c r="A1080" s="223" t="s">
        <v>140</v>
      </c>
      <c r="B1080" s="223">
        <v>21</v>
      </c>
      <c r="C1080" s="223">
        <v>27</v>
      </c>
      <c r="D1080" s="223">
        <v>4</v>
      </c>
      <c r="E1080" s="223">
        <v>62109</v>
      </c>
    </row>
    <row r="1081" spans="1:5" ht="15">
      <c r="A1081" s="223" t="s">
        <v>140</v>
      </c>
      <c r="B1081" s="223">
        <v>21</v>
      </c>
      <c r="C1081" s="223">
        <v>27</v>
      </c>
      <c r="D1081" s="223">
        <v>7</v>
      </c>
      <c r="E1081" s="223">
        <v>31994</v>
      </c>
    </row>
    <row r="1082" spans="1:5" ht="15">
      <c r="A1082" s="223" t="s">
        <v>140</v>
      </c>
      <c r="B1082" s="223">
        <v>24</v>
      </c>
      <c r="C1082" s="223">
        <v>26</v>
      </c>
      <c r="D1082" s="223">
        <v>7</v>
      </c>
      <c r="E1082" s="223">
        <v>43925</v>
      </c>
    </row>
    <row r="1083" spans="1:5" ht="15">
      <c r="A1083" s="223" t="s">
        <v>142</v>
      </c>
      <c r="B1083" s="223">
        <v>21</v>
      </c>
      <c r="C1083" s="223">
        <v>23</v>
      </c>
      <c r="D1083" s="223">
        <v>2</v>
      </c>
      <c r="E1083" s="223">
        <v>12012</v>
      </c>
    </row>
    <row r="1084" spans="1:5" ht="15">
      <c r="A1084" s="223" t="s">
        <v>142</v>
      </c>
      <c r="B1084" s="223">
        <v>21</v>
      </c>
      <c r="C1084" s="223">
        <v>23</v>
      </c>
      <c r="D1084" s="223">
        <v>3</v>
      </c>
      <c r="E1084" s="223">
        <v>8565</v>
      </c>
    </row>
    <row r="1085" spans="1:5" ht="15">
      <c r="A1085" s="223" t="s">
        <v>142</v>
      </c>
      <c r="B1085" s="223">
        <v>21</v>
      </c>
      <c r="C1085" s="223">
        <v>23</v>
      </c>
      <c r="D1085" s="223">
        <v>4</v>
      </c>
      <c r="E1085" s="223">
        <v>9224</v>
      </c>
    </row>
    <row r="1086" spans="1:5" ht="15">
      <c r="A1086" s="223" t="s">
        <v>142</v>
      </c>
      <c r="B1086" s="223">
        <v>21</v>
      </c>
      <c r="C1086" s="223">
        <v>27</v>
      </c>
      <c r="D1086" s="223">
        <v>2</v>
      </c>
      <c r="E1086" s="223">
        <v>54062</v>
      </c>
    </row>
    <row r="1087" spans="1:5" ht="15">
      <c r="A1087" s="223" t="s">
        <v>142</v>
      </c>
      <c r="B1087" s="223">
        <v>21</v>
      </c>
      <c r="C1087" s="223">
        <v>27</v>
      </c>
      <c r="D1087" s="223">
        <v>3</v>
      </c>
      <c r="E1087" s="223">
        <v>113415</v>
      </c>
    </row>
    <row r="1088" spans="1:5" ht="15">
      <c r="A1088" s="223" t="s">
        <v>142</v>
      </c>
      <c r="B1088" s="223">
        <v>21</v>
      </c>
      <c r="C1088" s="223">
        <v>27</v>
      </c>
      <c r="D1088" s="223">
        <v>4</v>
      </c>
      <c r="E1088" s="223">
        <v>84180</v>
      </c>
    </row>
    <row r="1089" spans="1:5" ht="15">
      <c r="A1089" s="223" t="s">
        <v>142</v>
      </c>
      <c r="B1089" s="223">
        <v>21</v>
      </c>
      <c r="C1089" s="223">
        <v>27</v>
      </c>
      <c r="D1089" s="223">
        <v>5</v>
      </c>
      <c r="E1089" s="223">
        <v>2500</v>
      </c>
    </row>
    <row r="1090" spans="1:5" ht="15">
      <c r="A1090" s="223" t="s">
        <v>142</v>
      </c>
      <c r="B1090" s="223">
        <v>21</v>
      </c>
      <c r="C1090" s="223">
        <v>27</v>
      </c>
      <c r="D1090" s="223">
        <v>7</v>
      </c>
      <c r="E1090" s="223">
        <v>600</v>
      </c>
    </row>
    <row r="1091" spans="1:5" ht="15">
      <c r="A1091" s="223" t="s">
        <v>142</v>
      </c>
      <c r="B1091" s="223">
        <v>21</v>
      </c>
      <c r="C1091" s="223">
        <v>29</v>
      </c>
      <c r="D1091" s="223">
        <v>7</v>
      </c>
      <c r="E1091" s="223">
        <v>7000</v>
      </c>
    </row>
    <row r="1092" spans="1:5" ht="15">
      <c r="A1092" s="223" t="s">
        <v>142</v>
      </c>
      <c r="B1092" s="223">
        <v>21</v>
      </c>
      <c r="C1092" s="223">
        <v>32</v>
      </c>
      <c r="D1092" s="223">
        <v>5</v>
      </c>
      <c r="E1092" s="223">
        <v>500</v>
      </c>
    </row>
    <row r="1093" spans="1:5" ht="15">
      <c r="A1093" s="223" t="s">
        <v>142</v>
      </c>
      <c r="B1093" s="223">
        <v>21</v>
      </c>
      <c r="C1093" s="223">
        <v>32</v>
      </c>
      <c r="D1093" s="223">
        <v>7</v>
      </c>
      <c r="E1093" s="223">
        <v>1400</v>
      </c>
    </row>
    <row r="1094" spans="1:5" ht="15">
      <c r="A1094" s="223" t="s">
        <v>142</v>
      </c>
      <c r="B1094" s="223">
        <v>21</v>
      </c>
      <c r="C1094" s="223">
        <v>33</v>
      </c>
      <c r="D1094" s="223">
        <v>5</v>
      </c>
      <c r="E1094" s="223">
        <v>1000</v>
      </c>
    </row>
    <row r="1095" spans="1:5" ht="15">
      <c r="A1095" s="223" t="s">
        <v>142</v>
      </c>
      <c r="B1095" s="223">
        <v>24</v>
      </c>
      <c r="C1095" s="223">
        <v>26</v>
      </c>
      <c r="D1095" s="223">
        <v>7</v>
      </c>
      <c r="E1095" s="223">
        <v>68600</v>
      </c>
    </row>
    <row r="1096" spans="1:5" ht="15">
      <c r="A1096" s="223" t="s">
        <v>143</v>
      </c>
      <c r="B1096" s="223">
        <v>21</v>
      </c>
      <c r="C1096" s="223">
        <v>21</v>
      </c>
      <c r="D1096" s="223">
        <v>2</v>
      </c>
      <c r="E1096" s="223">
        <v>147701</v>
      </c>
    </row>
    <row r="1097" spans="1:5" ht="15">
      <c r="A1097" s="223" t="s">
        <v>143</v>
      </c>
      <c r="B1097" s="223">
        <v>21</v>
      </c>
      <c r="C1097" s="223">
        <v>21</v>
      </c>
      <c r="D1097" s="223">
        <v>3</v>
      </c>
      <c r="E1097" s="223">
        <v>48998</v>
      </c>
    </row>
    <row r="1098" spans="1:5" ht="15">
      <c r="A1098" s="223" t="s">
        <v>143</v>
      </c>
      <c r="B1098" s="223">
        <v>21</v>
      </c>
      <c r="C1098" s="223">
        <v>21</v>
      </c>
      <c r="D1098" s="223">
        <v>4</v>
      </c>
      <c r="E1098" s="223">
        <v>66756</v>
      </c>
    </row>
    <row r="1099" spans="1:5" ht="15">
      <c r="A1099" s="223" t="s">
        <v>143</v>
      </c>
      <c r="B1099" s="223">
        <v>21</v>
      </c>
      <c r="C1099" s="223">
        <v>26</v>
      </c>
      <c r="D1099" s="223">
        <v>2</v>
      </c>
      <c r="E1099" s="223">
        <v>178266</v>
      </c>
    </row>
    <row r="1100" spans="1:5" ht="15">
      <c r="A1100" s="223" t="s">
        <v>143</v>
      </c>
      <c r="B1100" s="223">
        <v>21</v>
      </c>
      <c r="C1100" s="223">
        <v>26</v>
      </c>
      <c r="D1100" s="223">
        <v>4</v>
      </c>
      <c r="E1100" s="223">
        <v>61888</v>
      </c>
    </row>
    <row r="1101" spans="1:5" ht="15">
      <c r="A1101" s="223" t="s">
        <v>143</v>
      </c>
      <c r="B1101" s="223">
        <v>21</v>
      </c>
      <c r="C1101" s="223">
        <v>27</v>
      </c>
      <c r="D1101" s="223">
        <v>2</v>
      </c>
      <c r="E1101" s="223">
        <v>648876</v>
      </c>
    </row>
    <row r="1102" spans="1:5" ht="15">
      <c r="A1102" s="223" t="s">
        <v>143</v>
      </c>
      <c r="B1102" s="223">
        <v>21</v>
      </c>
      <c r="C1102" s="223">
        <v>27</v>
      </c>
      <c r="D1102" s="223">
        <v>3</v>
      </c>
      <c r="E1102" s="223">
        <v>517332</v>
      </c>
    </row>
    <row r="1103" spans="1:5" ht="15">
      <c r="A1103" s="223" t="s">
        <v>143</v>
      </c>
      <c r="B1103" s="223">
        <v>21</v>
      </c>
      <c r="C1103" s="223">
        <v>27</v>
      </c>
      <c r="D1103" s="223">
        <v>4</v>
      </c>
      <c r="E1103" s="223">
        <v>499049</v>
      </c>
    </row>
    <row r="1104" spans="1:5" ht="15">
      <c r="A1104" s="223" t="s">
        <v>143</v>
      </c>
      <c r="B1104" s="223">
        <v>21</v>
      </c>
      <c r="C1104" s="223">
        <v>27</v>
      </c>
      <c r="D1104" s="223">
        <v>5</v>
      </c>
      <c r="E1104" s="223">
        <v>10000</v>
      </c>
    </row>
    <row r="1105" spans="1:5" ht="15">
      <c r="A1105" s="223" t="s">
        <v>143</v>
      </c>
      <c r="B1105" s="223">
        <v>21</v>
      </c>
      <c r="C1105" s="223">
        <v>29</v>
      </c>
      <c r="D1105" s="223">
        <v>7</v>
      </c>
      <c r="E1105" s="223">
        <v>125000</v>
      </c>
    </row>
    <row r="1106" spans="1:5" ht="15">
      <c r="A1106" s="223" t="s">
        <v>143</v>
      </c>
      <c r="B1106" s="223">
        <v>21</v>
      </c>
      <c r="C1106" s="223">
        <v>31</v>
      </c>
      <c r="D1106" s="223">
        <v>7</v>
      </c>
      <c r="E1106" s="223">
        <v>3000</v>
      </c>
    </row>
    <row r="1107" spans="1:5" ht="15">
      <c r="A1107" s="223" t="s">
        <v>143</v>
      </c>
      <c r="B1107" s="223">
        <v>23</v>
      </c>
      <c r="C1107" s="223">
        <v>27</v>
      </c>
      <c r="D1107" s="223">
        <v>2</v>
      </c>
      <c r="E1107" s="223">
        <v>20372</v>
      </c>
    </row>
    <row r="1108" spans="1:5" ht="15">
      <c r="A1108" s="223" t="s">
        <v>143</v>
      </c>
      <c r="B1108" s="223">
        <v>23</v>
      </c>
      <c r="C1108" s="223">
        <v>27</v>
      </c>
      <c r="D1108" s="223">
        <v>4</v>
      </c>
      <c r="E1108" s="223">
        <v>8616</v>
      </c>
    </row>
    <row r="1109" spans="1:5" ht="15">
      <c r="A1109" s="223" t="s">
        <v>143</v>
      </c>
      <c r="B1109" s="223">
        <v>24</v>
      </c>
      <c r="C1109" s="223">
        <v>26</v>
      </c>
      <c r="D1109" s="223">
        <v>2</v>
      </c>
      <c r="E1109" s="223">
        <v>142744</v>
      </c>
    </row>
    <row r="1110" spans="1:5" ht="15">
      <c r="A1110" s="223" t="s">
        <v>143</v>
      </c>
      <c r="B1110" s="223">
        <v>24</v>
      </c>
      <c r="C1110" s="223">
        <v>26</v>
      </c>
      <c r="D1110" s="223">
        <v>4</v>
      </c>
      <c r="E1110" s="223">
        <v>55409</v>
      </c>
    </row>
    <row r="1111" spans="1:5" ht="15">
      <c r="A1111" s="223" t="s">
        <v>143</v>
      </c>
      <c r="B1111" s="223">
        <v>24</v>
      </c>
      <c r="C1111" s="223">
        <v>27</v>
      </c>
      <c r="D1111" s="223">
        <v>2</v>
      </c>
      <c r="E1111" s="223">
        <v>5432</v>
      </c>
    </row>
    <row r="1112" spans="1:5" ht="15">
      <c r="A1112" s="223" t="s">
        <v>143</v>
      </c>
      <c r="B1112" s="223">
        <v>24</v>
      </c>
      <c r="C1112" s="223">
        <v>27</v>
      </c>
      <c r="D1112" s="223">
        <v>4</v>
      </c>
      <c r="E1112" s="223">
        <v>2298</v>
      </c>
    </row>
    <row r="1113" spans="1:5" ht="15">
      <c r="A1113" s="223" t="s">
        <v>12</v>
      </c>
      <c r="B1113" s="223">
        <v>21</v>
      </c>
      <c r="C1113" s="223">
        <v>23</v>
      </c>
      <c r="D1113" s="223">
        <v>2</v>
      </c>
      <c r="E1113" s="223">
        <v>22150</v>
      </c>
    </row>
    <row r="1114" spans="1:5" ht="15">
      <c r="A1114" s="223" t="s">
        <v>12</v>
      </c>
      <c r="B1114" s="223">
        <v>21</v>
      </c>
      <c r="C1114" s="223">
        <v>23</v>
      </c>
      <c r="D1114" s="223">
        <v>4</v>
      </c>
      <c r="E1114" s="223">
        <v>7530</v>
      </c>
    </row>
    <row r="1115" spans="1:5" ht="15">
      <c r="A1115" s="223" t="s">
        <v>12</v>
      </c>
      <c r="B1115" s="223">
        <v>21</v>
      </c>
      <c r="C1115" s="223">
        <v>23</v>
      </c>
      <c r="D1115" s="223">
        <v>7</v>
      </c>
      <c r="E1115" s="223">
        <v>300</v>
      </c>
    </row>
    <row r="1116" spans="1:5" ht="15">
      <c r="A1116" s="223" t="s">
        <v>12</v>
      </c>
      <c r="B1116" s="223">
        <v>21</v>
      </c>
      <c r="C1116" s="223">
        <v>26</v>
      </c>
      <c r="D1116" s="223">
        <v>7</v>
      </c>
      <c r="E1116" s="223">
        <v>150000</v>
      </c>
    </row>
    <row r="1117" spans="1:5" ht="15">
      <c r="A1117" s="223" t="s">
        <v>12</v>
      </c>
      <c r="B1117" s="223">
        <v>21</v>
      </c>
      <c r="C1117" s="223">
        <v>27</v>
      </c>
      <c r="D1117" s="223">
        <v>2</v>
      </c>
      <c r="E1117" s="223">
        <v>137878</v>
      </c>
    </row>
    <row r="1118" spans="1:5" ht="15">
      <c r="A1118" s="223" t="s">
        <v>12</v>
      </c>
      <c r="B1118" s="223">
        <v>21</v>
      </c>
      <c r="C1118" s="223">
        <v>27</v>
      </c>
      <c r="D1118" s="223">
        <v>3</v>
      </c>
      <c r="E1118" s="223">
        <v>75731</v>
      </c>
    </row>
    <row r="1119" spans="1:5" ht="15">
      <c r="A1119" s="223" t="s">
        <v>12</v>
      </c>
      <c r="B1119" s="223">
        <v>21</v>
      </c>
      <c r="C1119" s="223">
        <v>27</v>
      </c>
      <c r="D1119" s="223">
        <v>4</v>
      </c>
      <c r="E1119" s="223">
        <v>92553</v>
      </c>
    </row>
    <row r="1120" spans="1:5" ht="15">
      <c r="A1120" s="223" t="s">
        <v>12</v>
      </c>
      <c r="B1120" s="223">
        <v>21</v>
      </c>
      <c r="C1120" s="223">
        <v>27</v>
      </c>
      <c r="D1120" s="223">
        <v>5</v>
      </c>
      <c r="E1120" s="223">
        <v>9000</v>
      </c>
    </row>
    <row r="1121" spans="1:5" ht="15">
      <c r="A1121" s="223" t="s">
        <v>12</v>
      </c>
      <c r="B1121" s="223">
        <v>21</v>
      </c>
      <c r="C1121" s="223">
        <v>27</v>
      </c>
      <c r="D1121" s="223">
        <v>7</v>
      </c>
      <c r="E1121" s="223">
        <v>1000</v>
      </c>
    </row>
    <row r="1122" spans="1:5" ht="15">
      <c r="A1122" s="223" t="s">
        <v>12</v>
      </c>
      <c r="B1122" s="223">
        <v>21</v>
      </c>
      <c r="C1122" s="223">
        <v>27</v>
      </c>
      <c r="D1122" s="223">
        <v>8</v>
      </c>
      <c r="E1122" s="223">
        <v>1500</v>
      </c>
    </row>
    <row r="1123" spans="1:5" ht="15">
      <c r="A1123" s="223" t="s">
        <v>12</v>
      </c>
      <c r="B1123" s="223">
        <v>21</v>
      </c>
      <c r="C1123" s="223">
        <v>31</v>
      </c>
      <c r="D1123" s="223">
        <v>7</v>
      </c>
      <c r="E1123" s="223">
        <v>1500</v>
      </c>
    </row>
    <row r="1124" spans="1:5" ht="15">
      <c r="A1124" s="223" t="s">
        <v>12</v>
      </c>
      <c r="B1124" s="223">
        <v>21</v>
      </c>
      <c r="C1124" s="223">
        <v>32</v>
      </c>
      <c r="D1124" s="223">
        <v>5</v>
      </c>
      <c r="E1124" s="223">
        <v>3000</v>
      </c>
    </row>
    <row r="1125" spans="1:5" ht="15">
      <c r="A1125" s="223" t="s">
        <v>12</v>
      </c>
      <c r="B1125" s="223">
        <v>21</v>
      </c>
      <c r="C1125" s="223">
        <v>33</v>
      </c>
      <c r="D1125" s="223">
        <v>5</v>
      </c>
      <c r="E1125" s="223">
        <v>500</v>
      </c>
    </row>
    <row r="1126" spans="1:5" ht="15">
      <c r="A1126" s="223" t="s">
        <v>12</v>
      </c>
      <c r="B1126" s="223">
        <v>24</v>
      </c>
      <c r="C1126" s="223">
        <v>27</v>
      </c>
      <c r="D1126" s="223">
        <v>3</v>
      </c>
      <c r="E1126" s="223">
        <v>31494</v>
      </c>
    </row>
    <row r="1127" spans="1:5" ht="15">
      <c r="A1127" s="223" t="s">
        <v>12</v>
      </c>
      <c r="B1127" s="223">
        <v>24</v>
      </c>
      <c r="C1127" s="223">
        <v>27</v>
      </c>
      <c r="D1127" s="223">
        <v>4</v>
      </c>
      <c r="E1127" s="223">
        <v>18854</v>
      </c>
    </row>
    <row r="1128" spans="1:5" ht="15">
      <c r="A1128" s="223" t="s">
        <v>145</v>
      </c>
      <c r="B1128" s="223">
        <v>21</v>
      </c>
      <c r="C1128" s="223">
        <v>26</v>
      </c>
      <c r="D1128" s="223">
        <v>5</v>
      </c>
      <c r="E1128" s="223">
        <v>500</v>
      </c>
    </row>
    <row r="1129" spans="1:5" ht="15">
      <c r="A1129" s="223" t="s">
        <v>145</v>
      </c>
      <c r="B1129" s="223">
        <v>21</v>
      </c>
      <c r="C1129" s="223">
        <v>26</v>
      </c>
      <c r="D1129" s="223">
        <v>7</v>
      </c>
      <c r="E1129" s="223">
        <v>30000</v>
      </c>
    </row>
    <row r="1130" spans="1:5" ht="15">
      <c r="A1130" s="223" t="s">
        <v>145</v>
      </c>
      <c r="B1130" s="223">
        <v>21</v>
      </c>
      <c r="C1130" s="223">
        <v>27</v>
      </c>
      <c r="D1130" s="223">
        <v>2</v>
      </c>
      <c r="E1130" s="223">
        <v>83306</v>
      </c>
    </row>
    <row r="1131" spans="1:5" ht="15">
      <c r="A1131" s="223" t="s">
        <v>145</v>
      </c>
      <c r="B1131" s="223">
        <v>21</v>
      </c>
      <c r="C1131" s="223">
        <v>27</v>
      </c>
      <c r="D1131" s="223">
        <v>3</v>
      </c>
      <c r="E1131" s="223">
        <v>25976</v>
      </c>
    </row>
    <row r="1132" spans="1:5" ht="15">
      <c r="A1132" s="223" t="s">
        <v>145</v>
      </c>
      <c r="B1132" s="223">
        <v>21</v>
      </c>
      <c r="C1132" s="223">
        <v>27</v>
      </c>
      <c r="D1132" s="223">
        <v>4</v>
      </c>
      <c r="E1132" s="223">
        <v>46945</v>
      </c>
    </row>
    <row r="1133" spans="1:5" ht="15">
      <c r="A1133" s="223" t="s">
        <v>145</v>
      </c>
      <c r="B1133" s="223">
        <v>21</v>
      </c>
      <c r="C1133" s="223">
        <v>27</v>
      </c>
      <c r="D1133" s="223">
        <v>5</v>
      </c>
      <c r="E1133" s="223">
        <v>2000</v>
      </c>
    </row>
    <row r="1134" spans="1:5" ht="15">
      <c r="A1134" s="223" t="s">
        <v>145</v>
      </c>
      <c r="B1134" s="223">
        <v>24</v>
      </c>
      <c r="C1134" s="223">
        <v>26</v>
      </c>
      <c r="D1134" s="223">
        <v>7</v>
      </c>
      <c r="E1134" s="223">
        <v>18930</v>
      </c>
    </row>
    <row r="1135" spans="1:5" ht="15">
      <c r="A1135" s="223" t="s">
        <v>402</v>
      </c>
      <c r="B1135" s="223">
        <v>21</v>
      </c>
      <c r="C1135" s="223">
        <v>27</v>
      </c>
      <c r="D1135" s="223">
        <v>2</v>
      </c>
      <c r="E1135" s="223">
        <v>66404</v>
      </c>
    </row>
    <row r="1136" spans="1:5" ht="15">
      <c r="A1136" s="223" t="s">
        <v>402</v>
      </c>
      <c r="B1136" s="223">
        <v>21</v>
      </c>
      <c r="C1136" s="223">
        <v>27</v>
      </c>
      <c r="D1136" s="223">
        <v>3</v>
      </c>
      <c r="E1136" s="223">
        <v>100470</v>
      </c>
    </row>
    <row r="1137" spans="1:5" ht="15">
      <c r="A1137" s="223" t="s">
        <v>402</v>
      </c>
      <c r="B1137" s="223">
        <v>21</v>
      </c>
      <c r="C1137" s="223">
        <v>27</v>
      </c>
      <c r="D1137" s="223">
        <v>4</v>
      </c>
      <c r="E1137" s="223">
        <v>97233</v>
      </c>
    </row>
    <row r="1138" spans="1:5" ht="15">
      <c r="A1138" s="223" t="s">
        <v>402</v>
      </c>
      <c r="B1138" s="223">
        <v>21</v>
      </c>
      <c r="C1138" s="223">
        <v>27</v>
      </c>
      <c r="D1138" s="223">
        <v>5</v>
      </c>
      <c r="E1138" s="223">
        <v>8000</v>
      </c>
    </row>
    <row r="1139" spans="1:5" ht="15">
      <c r="A1139" s="223" t="s">
        <v>402</v>
      </c>
      <c r="B1139" s="223">
        <v>21</v>
      </c>
      <c r="C1139" s="223">
        <v>27</v>
      </c>
      <c r="D1139" s="223">
        <v>7</v>
      </c>
      <c r="E1139" s="223">
        <v>70000</v>
      </c>
    </row>
    <row r="1140" spans="1:5" ht="15">
      <c r="A1140" s="223" t="s">
        <v>402</v>
      </c>
      <c r="B1140" s="223">
        <v>21</v>
      </c>
      <c r="C1140" s="223">
        <v>27</v>
      </c>
      <c r="D1140" s="223">
        <v>8</v>
      </c>
      <c r="E1140" s="223">
        <v>300</v>
      </c>
    </row>
    <row r="1141" spans="1:5" ht="15">
      <c r="A1141" s="223" t="s">
        <v>402</v>
      </c>
      <c r="B1141" s="223">
        <v>21</v>
      </c>
      <c r="C1141" s="223">
        <v>34</v>
      </c>
      <c r="D1141" s="223">
        <v>2</v>
      </c>
      <c r="E1141" s="223">
        <v>1588</v>
      </c>
    </row>
    <row r="1142" spans="1:5" ht="15">
      <c r="A1142" s="223" t="s">
        <v>402</v>
      </c>
      <c r="B1142" s="223">
        <v>21</v>
      </c>
      <c r="C1142" s="223">
        <v>34</v>
      </c>
      <c r="D1142" s="223">
        <v>4</v>
      </c>
      <c r="E1142" s="223">
        <v>373</v>
      </c>
    </row>
    <row r="1143" spans="1:5" ht="15">
      <c r="A1143" s="223" t="s">
        <v>402</v>
      </c>
      <c r="B1143" s="223">
        <v>24</v>
      </c>
      <c r="C1143" s="223">
        <v>26</v>
      </c>
      <c r="D1143" s="223">
        <v>7</v>
      </c>
      <c r="E1143" s="223">
        <v>60000</v>
      </c>
    </row>
    <row r="1144" spans="1:5" ht="15">
      <c r="A1144" s="223" t="s">
        <v>404</v>
      </c>
      <c r="B1144" s="223">
        <v>21</v>
      </c>
      <c r="C1144" s="223">
        <v>21</v>
      </c>
      <c r="D1144" s="223">
        <v>2</v>
      </c>
      <c r="E1144" s="223">
        <v>74589</v>
      </c>
    </row>
    <row r="1145" spans="1:5" ht="15">
      <c r="A1145" s="223" t="s">
        <v>404</v>
      </c>
      <c r="B1145" s="223">
        <v>21</v>
      </c>
      <c r="C1145" s="223">
        <v>21</v>
      </c>
      <c r="D1145" s="223">
        <v>4</v>
      </c>
      <c r="E1145" s="223">
        <v>25721</v>
      </c>
    </row>
    <row r="1146" spans="1:5" ht="15">
      <c r="A1146" s="223" t="s">
        <v>404</v>
      </c>
      <c r="B1146" s="223">
        <v>21</v>
      </c>
      <c r="C1146" s="223">
        <v>23</v>
      </c>
      <c r="D1146" s="223">
        <v>3</v>
      </c>
      <c r="E1146" s="223">
        <v>4335</v>
      </c>
    </row>
    <row r="1147" spans="1:5" ht="15">
      <c r="A1147" s="223" t="s">
        <v>404</v>
      </c>
      <c r="B1147" s="223">
        <v>21</v>
      </c>
      <c r="C1147" s="223">
        <v>23</v>
      </c>
      <c r="D1147" s="223">
        <v>4</v>
      </c>
      <c r="E1147" s="223">
        <v>2479</v>
      </c>
    </row>
    <row r="1148" spans="1:5" ht="15">
      <c r="A1148" s="223" t="s">
        <v>404</v>
      </c>
      <c r="B1148" s="223">
        <v>21</v>
      </c>
      <c r="C1148" s="223">
        <v>26</v>
      </c>
      <c r="D1148" s="223">
        <v>7</v>
      </c>
      <c r="E1148" s="223">
        <v>50000</v>
      </c>
    </row>
    <row r="1149" spans="1:5" ht="15">
      <c r="A1149" s="223" t="s">
        <v>404</v>
      </c>
      <c r="B1149" s="223">
        <v>21</v>
      </c>
      <c r="C1149" s="223">
        <v>26</v>
      </c>
      <c r="D1149" s="223">
        <v>8</v>
      </c>
      <c r="E1149" s="223">
        <v>2000</v>
      </c>
    </row>
    <row r="1150" spans="1:5" ht="15">
      <c r="A1150" s="223" t="s">
        <v>404</v>
      </c>
      <c r="B1150" s="223">
        <v>21</v>
      </c>
      <c r="C1150" s="223">
        <v>27</v>
      </c>
      <c r="D1150" s="223">
        <v>2</v>
      </c>
      <c r="E1150" s="223">
        <v>89211</v>
      </c>
    </row>
    <row r="1151" spans="1:5" ht="15">
      <c r="A1151" s="223" t="s">
        <v>404</v>
      </c>
      <c r="B1151" s="223">
        <v>21</v>
      </c>
      <c r="C1151" s="223">
        <v>27</v>
      </c>
      <c r="D1151" s="223">
        <v>3</v>
      </c>
      <c r="E1151" s="223">
        <v>93989</v>
      </c>
    </row>
    <row r="1152" spans="1:5" ht="15">
      <c r="A1152" s="223" t="s">
        <v>404</v>
      </c>
      <c r="B1152" s="223">
        <v>21</v>
      </c>
      <c r="C1152" s="223">
        <v>27</v>
      </c>
      <c r="D1152" s="223">
        <v>4</v>
      </c>
      <c r="E1152" s="223">
        <v>92909</v>
      </c>
    </row>
    <row r="1153" spans="1:5" ht="15">
      <c r="A1153" s="223" t="s">
        <v>404</v>
      </c>
      <c r="B1153" s="223">
        <v>21</v>
      </c>
      <c r="C1153" s="223">
        <v>27</v>
      </c>
      <c r="D1153" s="223">
        <v>5</v>
      </c>
      <c r="E1153" s="223">
        <v>9500</v>
      </c>
    </row>
    <row r="1154" spans="1:5" ht="15">
      <c r="A1154" s="223" t="s">
        <v>404</v>
      </c>
      <c r="B1154" s="223">
        <v>21</v>
      </c>
      <c r="C1154" s="223">
        <v>27</v>
      </c>
      <c r="D1154" s="223">
        <v>8</v>
      </c>
      <c r="E1154" s="223">
        <v>2500</v>
      </c>
    </row>
    <row r="1155" spans="1:5" ht="15">
      <c r="A1155" s="223" t="s">
        <v>404</v>
      </c>
      <c r="B1155" s="223">
        <v>24</v>
      </c>
      <c r="C1155" s="223">
        <v>27</v>
      </c>
      <c r="D1155" s="223">
        <v>2</v>
      </c>
      <c r="E1155" s="223">
        <v>43739</v>
      </c>
    </row>
    <row r="1156" spans="1:5" ht="15">
      <c r="A1156" s="223" t="s">
        <v>404</v>
      </c>
      <c r="B1156" s="223">
        <v>24</v>
      </c>
      <c r="C1156" s="223">
        <v>27</v>
      </c>
      <c r="D1156" s="223">
        <v>4</v>
      </c>
      <c r="E1156" s="223">
        <v>16184</v>
      </c>
    </row>
    <row r="1157" spans="1:5" ht="15">
      <c r="A1157" s="223" t="s">
        <v>404</v>
      </c>
      <c r="B1157" s="223">
        <v>24</v>
      </c>
      <c r="C1157" s="223">
        <v>27</v>
      </c>
      <c r="D1157" s="223">
        <v>5</v>
      </c>
      <c r="E1157" s="223">
        <v>23000</v>
      </c>
    </row>
    <row r="1158" spans="1:5" ht="15">
      <c r="A1158" s="223" t="s">
        <v>404</v>
      </c>
      <c r="B1158" s="223">
        <v>29</v>
      </c>
      <c r="C1158" s="223">
        <v>27</v>
      </c>
      <c r="D1158" s="223">
        <v>5</v>
      </c>
      <c r="E1158" s="223">
        <v>5000</v>
      </c>
    </row>
    <row r="1159" spans="1:5" ht="15">
      <c r="A1159" s="223" t="s">
        <v>404</v>
      </c>
      <c r="B1159" s="223">
        <v>29</v>
      </c>
      <c r="C1159" s="223">
        <v>32</v>
      </c>
      <c r="D1159" s="223">
        <v>5</v>
      </c>
      <c r="E1159" s="223">
        <v>5000</v>
      </c>
    </row>
    <row r="1160" spans="1:5" ht="15">
      <c r="A1160" s="223" t="s">
        <v>406</v>
      </c>
      <c r="B1160" s="223">
        <v>21</v>
      </c>
      <c r="C1160" s="223">
        <v>24</v>
      </c>
      <c r="D1160" s="223">
        <v>7</v>
      </c>
      <c r="E1160" s="223">
        <v>5000</v>
      </c>
    </row>
    <row r="1161" spans="1:5" ht="15">
      <c r="A1161" s="223" t="s">
        <v>406</v>
      </c>
      <c r="B1161" s="223">
        <v>21</v>
      </c>
      <c r="C1161" s="223">
        <v>26</v>
      </c>
      <c r="D1161" s="223">
        <v>7</v>
      </c>
      <c r="E1161" s="223">
        <v>10000</v>
      </c>
    </row>
    <row r="1162" spans="1:5" ht="15">
      <c r="A1162" s="223" t="s">
        <v>406</v>
      </c>
      <c r="B1162" s="223">
        <v>21</v>
      </c>
      <c r="C1162" s="223">
        <v>32</v>
      </c>
      <c r="D1162" s="223">
        <v>5</v>
      </c>
      <c r="E1162" s="223">
        <v>1500</v>
      </c>
    </row>
    <row r="1163" spans="1:5" ht="15">
      <c r="A1163" s="223" t="s">
        <v>406</v>
      </c>
      <c r="B1163" s="223">
        <v>21</v>
      </c>
      <c r="C1163" s="223">
        <v>33</v>
      </c>
      <c r="D1163" s="223">
        <v>5</v>
      </c>
      <c r="E1163" s="223">
        <v>1500</v>
      </c>
    </row>
    <row r="1164" spans="1:5" ht="15">
      <c r="A1164" s="223" t="s">
        <v>224</v>
      </c>
      <c r="B1164" s="223">
        <v>21</v>
      </c>
      <c r="C1164" s="223">
        <v>21</v>
      </c>
      <c r="D1164" s="223">
        <v>2</v>
      </c>
      <c r="E1164" s="223">
        <v>67731</v>
      </c>
    </row>
    <row r="1165" spans="1:5" ht="15">
      <c r="A1165" s="223" t="s">
        <v>224</v>
      </c>
      <c r="B1165" s="223">
        <v>21</v>
      </c>
      <c r="C1165" s="223">
        <v>21</v>
      </c>
      <c r="D1165" s="223">
        <v>3</v>
      </c>
      <c r="E1165" s="223">
        <v>21251</v>
      </c>
    </row>
    <row r="1166" spans="1:5" ht="15">
      <c r="A1166" s="223" t="s">
        <v>224</v>
      </c>
      <c r="B1166" s="223">
        <v>21</v>
      </c>
      <c r="C1166" s="223">
        <v>21</v>
      </c>
      <c r="D1166" s="223">
        <v>4</v>
      </c>
      <c r="E1166" s="223">
        <v>31380</v>
      </c>
    </row>
    <row r="1167" spans="1:5" ht="15">
      <c r="A1167" s="223" t="s">
        <v>224</v>
      </c>
      <c r="B1167" s="223">
        <v>21</v>
      </c>
      <c r="C1167" s="223">
        <v>21</v>
      </c>
      <c r="D1167" s="223">
        <v>5</v>
      </c>
      <c r="E1167" s="223">
        <v>1200</v>
      </c>
    </row>
    <row r="1168" spans="1:5" ht="15">
      <c r="A1168" s="223" t="s">
        <v>224</v>
      </c>
      <c r="B1168" s="223">
        <v>21</v>
      </c>
      <c r="C1168" s="223">
        <v>21</v>
      </c>
      <c r="D1168" s="223">
        <v>7</v>
      </c>
      <c r="E1168" s="223">
        <v>550</v>
      </c>
    </row>
    <row r="1169" spans="1:5" ht="15">
      <c r="A1169" s="223" t="s">
        <v>224</v>
      </c>
      <c r="B1169" s="223">
        <v>21</v>
      </c>
      <c r="C1169" s="223">
        <v>21</v>
      </c>
      <c r="D1169" s="223">
        <v>8</v>
      </c>
      <c r="E1169" s="223">
        <v>1150</v>
      </c>
    </row>
    <row r="1170" spans="1:5" ht="15">
      <c r="A1170" s="223" t="s">
        <v>224</v>
      </c>
      <c r="B1170" s="223">
        <v>21</v>
      </c>
      <c r="C1170" s="223">
        <v>26</v>
      </c>
      <c r="D1170" s="223">
        <v>3</v>
      </c>
      <c r="E1170" s="223">
        <v>58256</v>
      </c>
    </row>
    <row r="1171" spans="1:5" ht="15">
      <c r="A1171" s="223" t="s">
        <v>224</v>
      </c>
      <c r="B1171" s="223">
        <v>21</v>
      </c>
      <c r="C1171" s="223">
        <v>26</v>
      </c>
      <c r="D1171" s="223">
        <v>4</v>
      </c>
      <c r="E1171" s="223">
        <v>33132</v>
      </c>
    </row>
    <row r="1172" spans="1:5" ht="15">
      <c r="A1172" s="223" t="s">
        <v>224</v>
      </c>
      <c r="B1172" s="223">
        <v>21</v>
      </c>
      <c r="C1172" s="223">
        <v>26</v>
      </c>
      <c r="D1172" s="223">
        <v>7</v>
      </c>
      <c r="E1172" s="223">
        <v>79610</v>
      </c>
    </row>
    <row r="1173" spans="1:5" ht="15">
      <c r="A1173" s="223" t="s">
        <v>224</v>
      </c>
      <c r="B1173" s="223">
        <v>21</v>
      </c>
      <c r="C1173" s="223">
        <v>26</v>
      </c>
      <c r="D1173" s="223">
        <v>8</v>
      </c>
      <c r="E1173" s="223">
        <v>500</v>
      </c>
    </row>
    <row r="1174" spans="1:5" ht="15">
      <c r="A1174" s="223" t="s">
        <v>224</v>
      </c>
      <c r="B1174" s="223">
        <v>21</v>
      </c>
      <c r="C1174" s="223">
        <v>27</v>
      </c>
      <c r="D1174" s="223">
        <v>2</v>
      </c>
      <c r="E1174" s="223">
        <v>99326</v>
      </c>
    </row>
    <row r="1175" spans="1:5" ht="15">
      <c r="A1175" s="223" t="s">
        <v>224</v>
      </c>
      <c r="B1175" s="223">
        <v>21</v>
      </c>
      <c r="C1175" s="223">
        <v>27</v>
      </c>
      <c r="D1175" s="223">
        <v>3</v>
      </c>
      <c r="E1175" s="223">
        <v>127635</v>
      </c>
    </row>
    <row r="1176" spans="1:5" ht="15">
      <c r="A1176" s="223" t="s">
        <v>224</v>
      </c>
      <c r="B1176" s="223">
        <v>21</v>
      </c>
      <c r="C1176" s="223">
        <v>27</v>
      </c>
      <c r="D1176" s="223">
        <v>4</v>
      </c>
      <c r="E1176" s="223">
        <v>115895</v>
      </c>
    </row>
    <row r="1177" spans="1:5" ht="15">
      <c r="A1177" s="223" t="s">
        <v>224</v>
      </c>
      <c r="B1177" s="223">
        <v>21</v>
      </c>
      <c r="C1177" s="223">
        <v>27</v>
      </c>
      <c r="D1177" s="223">
        <v>5</v>
      </c>
      <c r="E1177" s="223">
        <v>13061</v>
      </c>
    </row>
    <row r="1178" spans="1:5" ht="15">
      <c r="A1178" s="223" t="s">
        <v>224</v>
      </c>
      <c r="B1178" s="223">
        <v>21</v>
      </c>
      <c r="C1178" s="223">
        <v>27</v>
      </c>
      <c r="D1178" s="223">
        <v>7</v>
      </c>
      <c r="E1178" s="223">
        <v>51700</v>
      </c>
    </row>
    <row r="1179" spans="1:5" ht="15">
      <c r="A1179" s="223" t="s">
        <v>224</v>
      </c>
      <c r="B1179" s="223">
        <v>21</v>
      </c>
      <c r="C1179" s="223">
        <v>29</v>
      </c>
      <c r="D1179" s="223">
        <v>7</v>
      </c>
      <c r="E1179" s="223">
        <v>57500</v>
      </c>
    </row>
    <row r="1180" spans="1:5" ht="15">
      <c r="A1180" s="223" t="s">
        <v>224</v>
      </c>
      <c r="B1180" s="223">
        <v>21</v>
      </c>
      <c r="C1180" s="223">
        <v>31</v>
      </c>
      <c r="D1180" s="223">
        <v>2</v>
      </c>
      <c r="E1180" s="223">
        <v>2957</v>
      </c>
    </row>
    <row r="1181" spans="1:5" ht="15">
      <c r="A1181" s="223" t="s">
        <v>224</v>
      </c>
      <c r="B1181" s="223">
        <v>21</v>
      </c>
      <c r="C1181" s="223">
        <v>31</v>
      </c>
      <c r="D1181" s="223">
        <v>4</v>
      </c>
      <c r="E1181" s="223">
        <v>666</v>
      </c>
    </row>
    <row r="1182" spans="1:5" ht="15">
      <c r="A1182" s="223" t="s">
        <v>224</v>
      </c>
      <c r="B1182" s="223">
        <v>21</v>
      </c>
      <c r="C1182" s="223">
        <v>31</v>
      </c>
      <c r="D1182" s="223">
        <v>7</v>
      </c>
      <c r="E1182" s="223">
        <v>220</v>
      </c>
    </row>
    <row r="1183" spans="1:5" ht="15">
      <c r="A1183" s="223" t="s">
        <v>224</v>
      </c>
      <c r="B1183" s="223">
        <v>21</v>
      </c>
      <c r="C1183" s="223">
        <v>31</v>
      </c>
      <c r="D1183" s="223">
        <v>8</v>
      </c>
      <c r="E1183" s="223">
        <v>1800</v>
      </c>
    </row>
    <row r="1184" spans="1:5" ht="15">
      <c r="A1184" s="223" t="s">
        <v>224</v>
      </c>
      <c r="B1184" s="223">
        <v>23</v>
      </c>
      <c r="C1184" s="223">
        <v>27</v>
      </c>
      <c r="D1184" s="223">
        <v>2</v>
      </c>
      <c r="E1184" s="223">
        <v>15430</v>
      </c>
    </row>
    <row r="1185" spans="1:5" ht="15">
      <c r="A1185" s="223" t="s">
        <v>224</v>
      </c>
      <c r="B1185" s="223">
        <v>23</v>
      </c>
      <c r="C1185" s="223">
        <v>27</v>
      </c>
      <c r="D1185" s="223">
        <v>4</v>
      </c>
      <c r="E1185" s="223">
        <v>6183</v>
      </c>
    </row>
    <row r="1186" spans="1:5" ht="15">
      <c r="A1186" s="223" t="s">
        <v>224</v>
      </c>
      <c r="B1186" s="223">
        <v>23</v>
      </c>
      <c r="C1186" s="223">
        <v>31</v>
      </c>
      <c r="D1186" s="223">
        <v>2</v>
      </c>
      <c r="E1186" s="223">
        <v>487</v>
      </c>
    </row>
    <row r="1187" spans="1:5" ht="15">
      <c r="A1187" s="223" t="s">
        <v>224</v>
      </c>
      <c r="B1187" s="223">
        <v>23</v>
      </c>
      <c r="C1187" s="223">
        <v>31</v>
      </c>
      <c r="D1187" s="223">
        <v>4</v>
      </c>
      <c r="E1187" s="223">
        <v>110</v>
      </c>
    </row>
    <row r="1188" spans="1:5" ht="15">
      <c r="A1188" s="223" t="s">
        <v>224</v>
      </c>
      <c r="B1188" s="223">
        <v>24</v>
      </c>
      <c r="C1188" s="223">
        <v>26</v>
      </c>
      <c r="D1188" s="223">
        <v>7</v>
      </c>
      <c r="E1188" s="223">
        <v>6564</v>
      </c>
    </row>
    <row r="1189" spans="1:5" ht="15">
      <c r="A1189" s="223" t="s">
        <v>224</v>
      </c>
      <c r="B1189" s="223">
        <v>24</v>
      </c>
      <c r="C1189" s="223">
        <v>27</v>
      </c>
      <c r="D1189" s="223">
        <v>2</v>
      </c>
      <c r="E1189" s="223">
        <v>55220</v>
      </c>
    </row>
    <row r="1190" spans="1:5" ht="15">
      <c r="A1190" s="223" t="s">
        <v>224</v>
      </c>
      <c r="B1190" s="223">
        <v>24</v>
      </c>
      <c r="C1190" s="223">
        <v>27</v>
      </c>
      <c r="D1190" s="223">
        <v>4</v>
      </c>
      <c r="E1190" s="223">
        <v>19615</v>
      </c>
    </row>
    <row r="1191" spans="1:5" ht="15">
      <c r="A1191" s="223" t="s">
        <v>224</v>
      </c>
      <c r="B1191" s="223">
        <v>24</v>
      </c>
      <c r="C1191" s="223">
        <v>27</v>
      </c>
      <c r="D1191" s="223">
        <v>5</v>
      </c>
      <c r="E1191" s="223">
        <v>5511</v>
      </c>
    </row>
    <row r="1192" spans="1:5" ht="15">
      <c r="A1192" s="223" t="s">
        <v>224</v>
      </c>
      <c r="B1192" s="223">
        <v>24</v>
      </c>
      <c r="C1192" s="223">
        <v>31</v>
      </c>
      <c r="D1192" s="223">
        <v>2</v>
      </c>
      <c r="E1192" s="223">
        <v>1681</v>
      </c>
    </row>
    <row r="1193" spans="1:5" ht="15">
      <c r="A1193" s="223" t="s">
        <v>224</v>
      </c>
      <c r="B1193" s="223">
        <v>24</v>
      </c>
      <c r="C1193" s="223">
        <v>31</v>
      </c>
      <c r="D1193" s="223">
        <v>4</v>
      </c>
      <c r="E1193" s="223">
        <v>378</v>
      </c>
    </row>
    <row r="1194" spans="1:5" ht="15">
      <c r="A1194" s="223" t="s">
        <v>226</v>
      </c>
      <c r="B1194" s="223">
        <v>21</v>
      </c>
      <c r="C1194" s="223">
        <v>21</v>
      </c>
      <c r="D1194" s="223">
        <v>2</v>
      </c>
      <c r="E1194" s="223">
        <v>6952</v>
      </c>
    </row>
    <row r="1195" spans="1:5" ht="15">
      <c r="A1195" s="223" t="s">
        <v>226</v>
      </c>
      <c r="B1195" s="223">
        <v>21</v>
      </c>
      <c r="C1195" s="223">
        <v>26</v>
      </c>
      <c r="D1195" s="223">
        <v>2</v>
      </c>
      <c r="E1195" s="223">
        <v>51778</v>
      </c>
    </row>
    <row r="1196" spans="1:5" ht="15">
      <c r="A1196" s="223" t="s">
        <v>226</v>
      </c>
      <c r="B1196" s="223">
        <v>21</v>
      </c>
      <c r="C1196" s="223">
        <v>26</v>
      </c>
      <c r="D1196" s="223">
        <v>3</v>
      </c>
      <c r="E1196" s="223">
        <v>34129</v>
      </c>
    </row>
    <row r="1197" spans="1:5" ht="15">
      <c r="A1197" s="223" t="s">
        <v>226</v>
      </c>
      <c r="B1197" s="223">
        <v>21</v>
      </c>
      <c r="C1197" s="223">
        <v>26</v>
      </c>
      <c r="D1197" s="223">
        <v>4</v>
      </c>
      <c r="E1197" s="223">
        <v>40839</v>
      </c>
    </row>
    <row r="1198" spans="1:5" ht="15">
      <c r="A1198" s="223" t="s">
        <v>226</v>
      </c>
      <c r="B1198" s="223">
        <v>21</v>
      </c>
      <c r="C1198" s="223">
        <v>26</v>
      </c>
      <c r="D1198" s="223">
        <v>5</v>
      </c>
      <c r="E1198" s="223">
        <v>4000</v>
      </c>
    </row>
    <row r="1199" spans="1:5" ht="15">
      <c r="A1199" s="223" t="s">
        <v>226</v>
      </c>
      <c r="B1199" s="223">
        <v>21</v>
      </c>
      <c r="C1199" s="223">
        <v>26</v>
      </c>
      <c r="D1199" s="223">
        <v>7</v>
      </c>
      <c r="E1199" s="223">
        <v>36500</v>
      </c>
    </row>
    <row r="1200" spans="1:5" ht="15">
      <c r="A1200" s="223" t="s">
        <v>226</v>
      </c>
      <c r="B1200" s="223">
        <v>21</v>
      </c>
      <c r="C1200" s="223">
        <v>27</v>
      </c>
      <c r="D1200" s="223">
        <v>2</v>
      </c>
      <c r="E1200" s="223">
        <v>142342</v>
      </c>
    </row>
    <row r="1201" spans="1:5" ht="15">
      <c r="A1201" s="223" t="s">
        <v>226</v>
      </c>
      <c r="B1201" s="223">
        <v>21</v>
      </c>
      <c r="C1201" s="223">
        <v>27</v>
      </c>
      <c r="D1201" s="223">
        <v>3</v>
      </c>
      <c r="E1201" s="223">
        <v>250050</v>
      </c>
    </row>
    <row r="1202" spans="1:5" ht="15">
      <c r="A1202" s="223" t="s">
        <v>226</v>
      </c>
      <c r="B1202" s="223">
        <v>21</v>
      </c>
      <c r="C1202" s="223">
        <v>27</v>
      </c>
      <c r="D1202" s="223">
        <v>4</v>
      </c>
      <c r="E1202" s="223">
        <v>193285</v>
      </c>
    </row>
    <row r="1203" spans="1:5" ht="15">
      <c r="A1203" s="223" t="s">
        <v>226</v>
      </c>
      <c r="B1203" s="223">
        <v>21</v>
      </c>
      <c r="C1203" s="223">
        <v>27</v>
      </c>
      <c r="D1203" s="223">
        <v>5</v>
      </c>
      <c r="E1203" s="223">
        <v>18000</v>
      </c>
    </row>
    <row r="1204" spans="1:5" ht="15">
      <c r="A1204" s="223" t="s">
        <v>226</v>
      </c>
      <c r="B1204" s="223">
        <v>21</v>
      </c>
      <c r="C1204" s="223">
        <v>27</v>
      </c>
      <c r="D1204" s="223">
        <v>7</v>
      </c>
      <c r="E1204" s="223">
        <v>15000</v>
      </c>
    </row>
    <row r="1205" spans="1:5" ht="15">
      <c r="A1205" s="223" t="s">
        <v>226</v>
      </c>
      <c r="B1205" s="223">
        <v>21</v>
      </c>
      <c r="C1205" s="223">
        <v>31</v>
      </c>
      <c r="D1205" s="223">
        <v>7</v>
      </c>
      <c r="E1205" s="223">
        <v>6000</v>
      </c>
    </row>
    <row r="1206" spans="1:5" ht="15">
      <c r="A1206" s="223" t="s">
        <v>226</v>
      </c>
      <c r="B1206" s="223">
        <v>21</v>
      </c>
      <c r="C1206" s="223">
        <v>31</v>
      </c>
      <c r="D1206" s="223">
        <v>8</v>
      </c>
      <c r="E1206" s="223">
        <v>5000</v>
      </c>
    </row>
    <row r="1207" spans="1:5" ht="15">
      <c r="A1207" s="223" t="s">
        <v>226</v>
      </c>
      <c r="B1207" s="223">
        <v>21</v>
      </c>
      <c r="C1207" s="223">
        <v>32</v>
      </c>
      <c r="D1207" s="223">
        <v>5</v>
      </c>
      <c r="E1207" s="223">
        <v>10000</v>
      </c>
    </row>
    <row r="1208" spans="1:5" ht="15">
      <c r="A1208" s="223" t="s">
        <v>226</v>
      </c>
      <c r="B1208" s="223">
        <v>21</v>
      </c>
      <c r="C1208" s="223">
        <v>33</v>
      </c>
      <c r="D1208" s="223">
        <v>5</v>
      </c>
      <c r="E1208" s="223">
        <v>8500</v>
      </c>
    </row>
    <row r="1209" spans="1:5" ht="15">
      <c r="A1209" s="223" t="s">
        <v>226</v>
      </c>
      <c r="B1209" s="223">
        <v>21</v>
      </c>
      <c r="C1209" s="223">
        <v>34</v>
      </c>
      <c r="D1209" s="223">
        <v>2</v>
      </c>
      <c r="E1209" s="223">
        <v>1539</v>
      </c>
    </row>
    <row r="1210" spans="1:5" ht="15">
      <c r="A1210" s="223" t="s">
        <v>226</v>
      </c>
      <c r="B1210" s="223">
        <v>21</v>
      </c>
      <c r="C1210" s="223">
        <v>34</v>
      </c>
      <c r="D1210" s="223">
        <v>4</v>
      </c>
      <c r="E1210" s="223">
        <v>724</v>
      </c>
    </row>
    <row r="1211" spans="1:5" ht="15">
      <c r="A1211" s="223" t="s">
        <v>226</v>
      </c>
      <c r="B1211" s="223">
        <v>24</v>
      </c>
      <c r="C1211" s="223">
        <v>26</v>
      </c>
      <c r="D1211" s="223">
        <v>2</v>
      </c>
      <c r="E1211" s="223">
        <v>70932</v>
      </c>
    </row>
    <row r="1212" spans="1:5" ht="15">
      <c r="A1212" s="223" t="s">
        <v>226</v>
      </c>
      <c r="B1212" s="223">
        <v>24</v>
      </c>
      <c r="C1212" s="223">
        <v>26</v>
      </c>
      <c r="D1212" s="223">
        <v>4</v>
      </c>
      <c r="E1212" s="223">
        <v>28510</v>
      </c>
    </row>
    <row r="1213" spans="1:5" ht="15">
      <c r="A1213" s="223" t="s">
        <v>226</v>
      </c>
      <c r="B1213" s="223">
        <v>24</v>
      </c>
      <c r="C1213" s="223">
        <v>26</v>
      </c>
      <c r="D1213" s="223">
        <v>7</v>
      </c>
      <c r="E1213" s="223">
        <v>45000</v>
      </c>
    </row>
    <row r="1214" spans="1:5" ht="15">
      <c r="A1214" s="223" t="s">
        <v>228</v>
      </c>
      <c r="B1214" s="223">
        <v>21</v>
      </c>
      <c r="C1214" s="223">
        <v>29</v>
      </c>
      <c r="D1214" s="223">
        <v>7</v>
      </c>
      <c r="E1214" s="223">
        <v>614025</v>
      </c>
    </row>
    <row r="1215" spans="1:5" ht="15">
      <c r="A1215" s="223" t="s">
        <v>355</v>
      </c>
      <c r="B1215" s="223">
        <v>21</v>
      </c>
      <c r="C1215" s="223">
        <v>21</v>
      </c>
      <c r="D1215" s="223">
        <v>2</v>
      </c>
      <c r="E1215" s="223">
        <v>118048</v>
      </c>
    </row>
    <row r="1216" spans="1:5" ht="15">
      <c r="A1216" s="223" t="s">
        <v>355</v>
      </c>
      <c r="B1216" s="223">
        <v>21</v>
      </c>
      <c r="C1216" s="223">
        <v>21</v>
      </c>
      <c r="D1216" s="223">
        <v>3</v>
      </c>
      <c r="E1216" s="223">
        <v>35969</v>
      </c>
    </row>
    <row r="1217" spans="1:5" ht="15">
      <c r="A1217" s="223" t="s">
        <v>355</v>
      </c>
      <c r="B1217" s="223">
        <v>21</v>
      </c>
      <c r="C1217" s="223">
        <v>21</v>
      </c>
      <c r="D1217" s="223">
        <v>4</v>
      </c>
      <c r="E1217" s="223">
        <v>57145</v>
      </c>
    </row>
    <row r="1218" spans="1:5" ht="15">
      <c r="A1218" s="223" t="s">
        <v>355</v>
      </c>
      <c r="B1218" s="223">
        <v>21</v>
      </c>
      <c r="C1218" s="223">
        <v>21</v>
      </c>
      <c r="D1218" s="223">
        <v>5</v>
      </c>
      <c r="E1218" s="223">
        <v>10250</v>
      </c>
    </row>
    <row r="1219" spans="1:5" ht="15">
      <c r="A1219" s="223" t="s">
        <v>355</v>
      </c>
      <c r="B1219" s="223">
        <v>21</v>
      </c>
      <c r="C1219" s="223">
        <v>21</v>
      </c>
      <c r="D1219" s="223">
        <v>7</v>
      </c>
      <c r="E1219" s="223">
        <v>500</v>
      </c>
    </row>
    <row r="1220" spans="1:5" ht="15">
      <c r="A1220" s="223" t="s">
        <v>355</v>
      </c>
      <c r="B1220" s="223">
        <v>21</v>
      </c>
      <c r="C1220" s="223">
        <v>21</v>
      </c>
      <c r="D1220" s="223">
        <v>8</v>
      </c>
      <c r="E1220" s="223">
        <v>1000</v>
      </c>
    </row>
    <row r="1221" spans="1:5" ht="15">
      <c r="A1221" s="223" t="s">
        <v>355</v>
      </c>
      <c r="B1221" s="223">
        <v>21</v>
      </c>
      <c r="C1221" s="223">
        <v>25</v>
      </c>
      <c r="D1221" s="223">
        <v>3</v>
      </c>
      <c r="E1221" s="223">
        <v>42184</v>
      </c>
    </row>
    <row r="1222" spans="1:5" ht="15">
      <c r="A1222" s="223" t="s">
        <v>355</v>
      </c>
      <c r="B1222" s="223">
        <v>21</v>
      </c>
      <c r="C1222" s="223">
        <v>25</v>
      </c>
      <c r="D1222" s="223">
        <v>4</v>
      </c>
      <c r="E1222" s="223">
        <v>33389</v>
      </c>
    </row>
    <row r="1223" spans="1:5" ht="15">
      <c r="A1223" s="223" t="s">
        <v>355</v>
      </c>
      <c r="B1223" s="223">
        <v>21</v>
      </c>
      <c r="C1223" s="223">
        <v>26</v>
      </c>
      <c r="D1223" s="223">
        <v>2</v>
      </c>
      <c r="E1223" s="223">
        <v>666905</v>
      </c>
    </row>
    <row r="1224" spans="1:5" ht="15">
      <c r="A1224" s="223" t="s">
        <v>355</v>
      </c>
      <c r="B1224" s="223">
        <v>21</v>
      </c>
      <c r="C1224" s="223">
        <v>26</v>
      </c>
      <c r="D1224" s="223">
        <v>4</v>
      </c>
      <c r="E1224" s="223">
        <v>263549</v>
      </c>
    </row>
    <row r="1225" spans="1:5" ht="15">
      <c r="A1225" s="223" t="s">
        <v>355</v>
      </c>
      <c r="B1225" s="223">
        <v>21</v>
      </c>
      <c r="C1225" s="223">
        <v>26</v>
      </c>
      <c r="D1225" s="223">
        <v>5</v>
      </c>
      <c r="E1225" s="223">
        <v>40000</v>
      </c>
    </row>
    <row r="1226" spans="1:5" ht="15">
      <c r="A1226" s="223" t="s">
        <v>355</v>
      </c>
      <c r="B1226" s="223">
        <v>21</v>
      </c>
      <c r="C1226" s="223">
        <v>26</v>
      </c>
      <c r="D1226" s="223">
        <v>7</v>
      </c>
      <c r="E1226" s="223">
        <v>2500</v>
      </c>
    </row>
    <row r="1227" spans="1:5" ht="15">
      <c r="A1227" s="223" t="s">
        <v>355</v>
      </c>
      <c r="B1227" s="223">
        <v>21</v>
      </c>
      <c r="C1227" s="223">
        <v>26</v>
      </c>
      <c r="D1227" s="223">
        <v>8</v>
      </c>
      <c r="E1227" s="223">
        <v>500</v>
      </c>
    </row>
    <row r="1228" spans="1:5" ht="15">
      <c r="A1228" s="223" t="s">
        <v>355</v>
      </c>
      <c r="B1228" s="223">
        <v>21</v>
      </c>
      <c r="C1228" s="223">
        <v>27</v>
      </c>
      <c r="D1228" s="223">
        <v>2</v>
      </c>
      <c r="E1228" s="223">
        <v>1001713</v>
      </c>
    </row>
    <row r="1229" spans="1:5" ht="15">
      <c r="A1229" s="223" t="s">
        <v>355</v>
      </c>
      <c r="B1229" s="223">
        <v>21</v>
      </c>
      <c r="C1229" s="223">
        <v>27</v>
      </c>
      <c r="D1229" s="223">
        <v>3</v>
      </c>
      <c r="E1229" s="223">
        <v>332633</v>
      </c>
    </row>
    <row r="1230" spans="1:5" ht="15">
      <c r="A1230" s="223" t="s">
        <v>355</v>
      </c>
      <c r="B1230" s="223">
        <v>21</v>
      </c>
      <c r="C1230" s="223">
        <v>27</v>
      </c>
      <c r="D1230" s="223">
        <v>4</v>
      </c>
      <c r="E1230" s="223">
        <v>613754</v>
      </c>
    </row>
    <row r="1231" spans="1:5" ht="15">
      <c r="A1231" s="223" t="s">
        <v>355</v>
      </c>
      <c r="B1231" s="223">
        <v>21</v>
      </c>
      <c r="C1231" s="223">
        <v>27</v>
      </c>
      <c r="D1231" s="223">
        <v>5</v>
      </c>
      <c r="E1231" s="223">
        <v>146000</v>
      </c>
    </row>
    <row r="1232" spans="1:5" ht="15">
      <c r="A1232" s="223" t="s">
        <v>355</v>
      </c>
      <c r="B1232" s="223">
        <v>21</v>
      </c>
      <c r="C1232" s="223">
        <v>27</v>
      </c>
      <c r="D1232" s="223">
        <v>7</v>
      </c>
      <c r="E1232" s="223">
        <v>148861</v>
      </c>
    </row>
    <row r="1233" spans="1:5" ht="15">
      <c r="A1233" s="223" t="s">
        <v>355</v>
      </c>
      <c r="B1233" s="223">
        <v>21</v>
      </c>
      <c r="C1233" s="223">
        <v>27</v>
      </c>
      <c r="D1233" s="223">
        <v>8</v>
      </c>
      <c r="E1233" s="223">
        <v>250</v>
      </c>
    </row>
    <row r="1234" spans="1:5" ht="15">
      <c r="A1234" s="223" t="s">
        <v>355</v>
      </c>
      <c r="B1234" s="223">
        <v>21</v>
      </c>
      <c r="C1234" s="223">
        <v>31</v>
      </c>
      <c r="D1234" s="223">
        <v>2</v>
      </c>
      <c r="E1234" s="223">
        <v>27726</v>
      </c>
    </row>
    <row r="1235" spans="1:5" ht="15">
      <c r="A1235" s="223" t="s">
        <v>355</v>
      </c>
      <c r="B1235" s="223">
        <v>21</v>
      </c>
      <c r="C1235" s="223">
        <v>31</v>
      </c>
      <c r="D1235" s="223">
        <v>4</v>
      </c>
      <c r="E1235" s="223">
        <v>7742</v>
      </c>
    </row>
    <row r="1236" spans="1:5" ht="15">
      <c r="A1236" s="223" t="s">
        <v>355</v>
      </c>
      <c r="B1236" s="223">
        <v>21</v>
      </c>
      <c r="C1236" s="223">
        <v>31</v>
      </c>
      <c r="D1236" s="223">
        <v>7</v>
      </c>
      <c r="E1236" s="223">
        <v>3000</v>
      </c>
    </row>
    <row r="1237" spans="1:5" ht="15">
      <c r="A1237" s="223" t="s">
        <v>355</v>
      </c>
      <c r="B1237" s="223">
        <v>23</v>
      </c>
      <c r="C1237" s="223">
        <v>27</v>
      </c>
      <c r="D1237" s="223">
        <v>5</v>
      </c>
      <c r="E1237" s="223">
        <v>80000</v>
      </c>
    </row>
    <row r="1238" spans="1:5" ht="15">
      <c r="A1238" s="223" t="s">
        <v>355</v>
      </c>
      <c r="B1238" s="223">
        <v>24</v>
      </c>
      <c r="C1238" s="223">
        <v>27</v>
      </c>
      <c r="D1238" s="223">
        <v>2</v>
      </c>
      <c r="E1238" s="223">
        <v>52700</v>
      </c>
    </row>
    <row r="1239" spans="1:5" ht="15">
      <c r="A1239" s="223" t="s">
        <v>355</v>
      </c>
      <c r="B1239" s="223">
        <v>24</v>
      </c>
      <c r="C1239" s="223">
        <v>27</v>
      </c>
      <c r="D1239" s="223">
        <v>3</v>
      </c>
      <c r="E1239" s="223">
        <v>254906</v>
      </c>
    </row>
    <row r="1240" spans="1:5" ht="15">
      <c r="A1240" s="223" t="s">
        <v>355</v>
      </c>
      <c r="B1240" s="223">
        <v>24</v>
      </c>
      <c r="C1240" s="223">
        <v>27</v>
      </c>
      <c r="D1240" s="223">
        <v>4</v>
      </c>
      <c r="E1240" s="223">
        <v>215921</v>
      </c>
    </row>
    <row r="1241" spans="1:5" ht="15">
      <c r="A1241" s="223" t="s">
        <v>355</v>
      </c>
      <c r="B1241" s="223">
        <v>24</v>
      </c>
      <c r="C1241" s="223">
        <v>31</v>
      </c>
      <c r="D1241" s="223">
        <v>2</v>
      </c>
      <c r="E1241" s="223">
        <v>842</v>
      </c>
    </row>
    <row r="1242" spans="1:5" ht="15">
      <c r="A1242" s="223" t="s">
        <v>355</v>
      </c>
      <c r="B1242" s="223">
        <v>24</v>
      </c>
      <c r="C1242" s="223">
        <v>31</v>
      </c>
      <c r="D1242" s="223">
        <v>4</v>
      </c>
      <c r="E1242" s="223">
        <v>189</v>
      </c>
    </row>
    <row r="1243" spans="1:5" ht="15">
      <c r="A1243" s="223" t="s">
        <v>357</v>
      </c>
      <c r="B1243" s="223">
        <v>21</v>
      </c>
      <c r="C1243" s="223">
        <v>21</v>
      </c>
      <c r="D1243" s="223">
        <v>2</v>
      </c>
      <c r="E1243" s="223">
        <v>141247</v>
      </c>
    </row>
    <row r="1244" spans="1:5" ht="15">
      <c r="A1244" s="223" t="s">
        <v>357</v>
      </c>
      <c r="B1244" s="223">
        <v>21</v>
      </c>
      <c r="C1244" s="223">
        <v>21</v>
      </c>
      <c r="D1244" s="223">
        <v>3</v>
      </c>
      <c r="E1244" s="223">
        <v>9333</v>
      </c>
    </row>
    <row r="1245" spans="1:5" ht="15">
      <c r="A1245" s="223" t="s">
        <v>357</v>
      </c>
      <c r="B1245" s="223">
        <v>21</v>
      </c>
      <c r="C1245" s="223">
        <v>21</v>
      </c>
      <c r="D1245" s="223">
        <v>4</v>
      </c>
      <c r="E1245" s="223">
        <v>44088</v>
      </c>
    </row>
    <row r="1246" spans="1:5" ht="15">
      <c r="A1246" s="223" t="s">
        <v>357</v>
      </c>
      <c r="B1246" s="223">
        <v>21</v>
      </c>
      <c r="C1246" s="223">
        <v>21</v>
      </c>
      <c r="D1246" s="223">
        <v>7</v>
      </c>
      <c r="E1246" s="223">
        <v>2950</v>
      </c>
    </row>
    <row r="1247" spans="1:5" ht="15">
      <c r="A1247" s="223" t="s">
        <v>357</v>
      </c>
      <c r="B1247" s="223">
        <v>21</v>
      </c>
      <c r="C1247" s="223">
        <v>25</v>
      </c>
      <c r="D1247" s="223">
        <v>3</v>
      </c>
      <c r="E1247" s="223">
        <v>3272</v>
      </c>
    </row>
    <row r="1248" spans="1:5" ht="15">
      <c r="A1248" s="223" t="s">
        <v>357</v>
      </c>
      <c r="B1248" s="223">
        <v>21</v>
      </c>
      <c r="C1248" s="223">
        <v>25</v>
      </c>
      <c r="D1248" s="223">
        <v>4</v>
      </c>
      <c r="E1248" s="223">
        <v>2428</v>
      </c>
    </row>
    <row r="1249" spans="1:5" ht="15">
      <c r="A1249" s="223" t="s">
        <v>357</v>
      </c>
      <c r="B1249" s="223">
        <v>21</v>
      </c>
      <c r="C1249" s="223">
        <v>25</v>
      </c>
      <c r="D1249" s="223">
        <v>7</v>
      </c>
      <c r="E1249" s="223">
        <v>1250</v>
      </c>
    </row>
    <row r="1250" spans="1:5" ht="15">
      <c r="A1250" s="223" t="s">
        <v>357</v>
      </c>
      <c r="B1250" s="223">
        <v>21</v>
      </c>
      <c r="C1250" s="223">
        <v>26</v>
      </c>
      <c r="D1250" s="223">
        <v>2</v>
      </c>
      <c r="E1250" s="223">
        <v>514314</v>
      </c>
    </row>
    <row r="1251" spans="1:5" ht="15">
      <c r="A1251" s="223" t="s">
        <v>357</v>
      </c>
      <c r="B1251" s="223">
        <v>21</v>
      </c>
      <c r="C1251" s="223">
        <v>26</v>
      </c>
      <c r="D1251" s="223">
        <v>3</v>
      </c>
      <c r="E1251" s="223">
        <v>34985</v>
      </c>
    </row>
    <row r="1252" spans="1:5" ht="15">
      <c r="A1252" s="223" t="s">
        <v>357</v>
      </c>
      <c r="B1252" s="223">
        <v>21</v>
      </c>
      <c r="C1252" s="223">
        <v>26</v>
      </c>
      <c r="D1252" s="223">
        <v>4</v>
      </c>
      <c r="E1252" s="223">
        <v>194632</v>
      </c>
    </row>
    <row r="1253" spans="1:5" ht="15">
      <c r="A1253" s="223" t="s">
        <v>357</v>
      </c>
      <c r="B1253" s="223">
        <v>21</v>
      </c>
      <c r="C1253" s="223">
        <v>26</v>
      </c>
      <c r="D1253" s="223">
        <v>5</v>
      </c>
      <c r="E1253" s="223">
        <v>6000</v>
      </c>
    </row>
    <row r="1254" spans="1:5" ht="15">
      <c r="A1254" s="223" t="s">
        <v>357</v>
      </c>
      <c r="B1254" s="223">
        <v>21</v>
      </c>
      <c r="C1254" s="223">
        <v>26</v>
      </c>
      <c r="D1254" s="223">
        <v>7</v>
      </c>
      <c r="E1254" s="223">
        <v>241700</v>
      </c>
    </row>
    <row r="1255" spans="1:5" ht="15">
      <c r="A1255" s="223" t="s">
        <v>357</v>
      </c>
      <c r="B1255" s="223">
        <v>21</v>
      </c>
      <c r="C1255" s="223">
        <v>26</v>
      </c>
      <c r="D1255" s="223">
        <v>8</v>
      </c>
      <c r="E1255" s="223">
        <v>1000</v>
      </c>
    </row>
    <row r="1256" spans="1:5" ht="15">
      <c r="A1256" s="223" t="s">
        <v>357</v>
      </c>
      <c r="B1256" s="223">
        <v>21</v>
      </c>
      <c r="C1256" s="223">
        <v>27</v>
      </c>
      <c r="D1256" s="223">
        <v>2</v>
      </c>
      <c r="E1256" s="223">
        <v>808263</v>
      </c>
    </row>
    <row r="1257" spans="1:5" ht="15">
      <c r="A1257" s="223" t="s">
        <v>357</v>
      </c>
      <c r="B1257" s="223">
        <v>21</v>
      </c>
      <c r="C1257" s="223">
        <v>27</v>
      </c>
      <c r="D1257" s="223">
        <v>3</v>
      </c>
      <c r="E1257" s="223">
        <v>868680</v>
      </c>
    </row>
    <row r="1258" spans="1:5" ht="15">
      <c r="A1258" s="223" t="s">
        <v>357</v>
      </c>
      <c r="B1258" s="223">
        <v>21</v>
      </c>
      <c r="C1258" s="223">
        <v>27</v>
      </c>
      <c r="D1258" s="223">
        <v>4</v>
      </c>
      <c r="E1258" s="223">
        <v>810275</v>
      </c>
    </row>
    <row r="1259" spans="1:5" ht="15">
      <c r="A1259" s="223" t="s">
        <v>357</v>
      </c>
      <c r="B1259" s="223">
        <v>21</v>
      </c>
      <c r="C1259" s="223">
        <v>27</v>
      </c>
      <c r="D1259" s="223">
        <v>5</v>
      </c>
      <c r="E1259" s="223">
        <v>7750</v>
      </c>
    </row>
    <row r="1260" spans="1:5" ht="15">
      <c r="A1260" s="223" t="s">
        <v>357</v>
      </c>
      <c r="B1260" s="223">
        <v>21</v>
      </c>
      <c r="C1260" s="223">
        <v>27</v>
      </c>
      <c r="D1260" s="223">
        <v>7</v>
      </c>
      <c r="E1260" s="223">
        <v>226260</v>
      </c>
    </row>
    <row r="1261" spans="1:5" ht="15">
      <c r="A1261" s="223" t="s">
        <v>357</v>
      </c>
      <c r="B1261" s="223">
        <v>21</v>
      </c>
      <c r="C1261" s="223">
        <v>31</v>
      </c>
      <c r="D1261" s="223">
        <v>5</v>
      </c>
      <c r="E1261" s="223">
        <v>1000</v>
      </c>
    </row>
    <row r="1262" spans="1:5" ht="15">
      <c r="A1262" s="223" t="s">
        <v>357</v>
      </c>
      <c r="B1262" s="223">
        <v>21</v>
      </c>
      <c r="C1262" s="223">
        <v>33</v>
      </c>
      <c r="D1262" s="223">
        <v>5</v>
      </c>
      <c r="E1262" s="223">
        <v>30000</v>
      </c>
    </row>
    <row r="1263" spans="1:5" ht="15">
      <c r="A1263" s="223" t="s">
        <v>357</v>
      </c>
      <c r="B1263" s="223">
        <v>21</v>
      </c>
      <c r="C1263" s="223">
        <v>33</v>
      </c>
      <c r="D1263" s="223">
        <v>7</v>
      </c>
      <c r="E1263" s="223">
        <v>600</v>
      </c>
    </row>
    <row r="1264" spans="1:5" ht="15">
      <c r="A1264" s="223" t="s">
        <v>357</v>
      </c>
      <c r="B1264" s="223">
        <v>21</v>
      </c>
      <c r="C1264" s="223">
        <v>34</v>
      </c>
      <c r="D1264" s="223">
        <v>2</v>
      </c>
      <c r="E1264" s="223">
        <v>18231</v>
      </c>
    </row>
    <row r="1265" spans="1:5" ht="15">
      <c r="A1265" s="223" t="s">
        <v>357</v>
      </c>
      <c r="B1265" s="223">
        <v>21</v>
      </c>
      <c r="C1265" s="223">
        <v>34</v>
      </c>
      <c r="D1265" s="223">
        <v>4</v>
      </c>
      <c r="E1265" s="223">
        <v>6806</v>
      </c>
    </row>
    <row r="1266" spans="1:5" ht="15">
      <c r="A1266" s="223" t="s">
        <v>357</v>
      </c>
      <c r="B1266" s="223">
        <v>24</v>
      </c>
      <c r="C1266" s="223">
        <v>26</v>
      </c>
      <c r="D1266" s="223">
        <v>7</v>
      </c>
      <c r="E1266" s="223">
        <v>100000</v>
      </c>
    </row>
    <row r="1267" spans="1:5" ht="15">
      <c r="A1267" s="223" t="s">
        <v>357</v>
      </c>
      <c r="B1267" s="223">
        <v>24</v>
      </c>
      <c r="C1267" s="223">
        <v>27</v>
      </c>
      <c r="D1267" s="223">
        <v>5</v>
      </c>
      <c r="E1267" s="223">
        <v>65338</v>
      </c>
    </row>
    <row r="1268" spans="1:5" ht="15">
      <c r="A1268" s="223" t="s">
        <v>357</v>
      </c>
      <c r="B1268" s="223">
        <v>24</v>
      </c>
      <c r="C1268" s="223">
        <v>29</v>
      </c>
      <c r="D1268" s="223">
        <v>7</v>
      </c>
      <c r="E1268" s="223">
        <v>95600</v>
      </c>
    </row>
    <row r="1269" spans="1:5" ht="15">
      <c r="A1269" s="223" t="s">
        <v>359</v>
      </c>
      <c r="B1269" s="223">
        <v>21</v>
      </c>
      <c r="C1269" s="223">
        <v>29</v>
      </c>
      <c r="D1269" s="223">
        <v>7</v>
      </c>
      <c r="E1269" s="223">
        <v>20631</v>
      </c>
    </row>
    <row r="1270" spans="1:5" ht="15">
      <c r="A1270" s="223" t="s">
        <v>230</v>
      </c>
      <c r="B1270" s="223">
        <v>21</v>
      </c>
      <c r="C1270" s="223">
        <v>21</v>
      </c>
      <c r="D1270" s="223">
        <v>2</v>
      </c>
      <c r="E1270" s="223">
        <v>151703</v>
      </c>
    </row>
    <row r="1271" spans="1:5" ht="15">
      <c r="A1271" s="223" t="s">
        <v>230</v>
      </c>
      <c r="B1271" s="223">
        <v>21</v>
      </c>
      <c r="C1271" s="223">
        <v>21</v>
      </c>
      <c r="D1271" s="223">
        <v>3</v>
      </c>
      <c r="E1271" s="223">
        <v>49338</v>
      </c>
    </row>
    <row r="1272" spans="1:5" ht="15">
      <c r="A1272" s="223" t="s">
        <v>230</v>
      </c>
      <c r="B1272" s="223">
        <v>21</v>
      </c>
      <c r="C1272" s="223">
        <v>21</v>
      </c>
      <c r="D1272" s="223">
        <v>4</v>
      </c>
      <c r="E1272" s="223">
        <v>57348</v>
      </c>
    </row>
    <row r="1273" spans="1:5" ht="15">
      <c r="A1273" s="223" t="s">
        <v>230</v>
      </c>
      <c r="B1273" s="223">
        <v>21</v>
      </c>
      <c r="C1273" s="223">
        <v>21</v>
      </c>
      <c r="D1273" s="223">
        <v>5</v>
      </c>
      <c r="E1273" s="223">
        <v>2600</v>
      </c>
    </row>
    <row r="1274" spans="1:5" ht="15">
      <c r="A1274" s="223" t="s">
        <v>230</v>
      </c>
      <c r="B1274" s="223">
        <v>21</v>
      </c>
      <c r="C1274" s="223">
        <v>21</v>
      </c>
      <c r="D1274" s="223">
        <v>7</v>
      </c>
      <c r="E1274" s="223">
        <v>3700</v>
      </c>
    </row>
    <row r="1275" spans="1:5" ht="15">
      <c r="A1275" s="223" t="s">
        <v>230</v>
      </c>
      <c r="B1275" s="223">
        <v>21</v>
      </c>
      <c r="C1275" s="223">
        <v>21</v>
      </c>
      <c r="D1275" s="223">
        <v>8</v>
      </c>
      <c r="E1275" s="223">
        <v>1000</v>
      </c>
    </row>
    <row r="1276" spans="1:5" ht="15">
      <c r="A1276" s="223" t="s">
        <v>230</v>
      </c>
      <c r="B1276" s="223">
        <v>21</v>
      </c>
      <c r="C1276" s="223">
        <v>25</v>
      </c>
      <c r="D1276" s="223">
        <v>3</v>
      </c>
      <c r="E1276" s="223">
        <v>136816</v>
      </c>
    </row>
    <row r="1277" spans="1:5" ht="15">
      <c r="A1277" s="223" t="s">
        <v>230</v>
      </c>
      <c r="B1277" s="223">
        <v>21</v>
      </c>
      <c r="C1277" s="223">
        <v>25</v>
      </c>
      <c r="D1277" s="223">
        <v>4</v>
      </c>
      <c r="E1277" s="223">
        <v>128988</v>
      </c>
    </row>
    <row r="1278" spans="1:5" ht="15">
      <c r="A1278" s="223" t="s">
        <v>230</v>
      </c>
      <c r="B1278" s="223">
        <v>21</v>
      </c>
      <c r="C1278" s="223">
        <v>25</v>
      </c>
      <c r="D1278" s="223">
        <v>5</v>
      </c>
      <c r="E1278" s="223">
        <v>1000</v>
      </c>
    </row>
    <row r="1279" spans="1:5" ht="15">
      <c r="A1279" s="223" t="s">
        <v>230</v>
      </c>
      <c r="B1279" s="223">
        <v>21</v>
      </c>
      <c r="C1279" s="223">
        <v>26</v>
      </c>
      <c r="D1279" s="223">
        <v>2</v>
      </c>
      <c r="E1279" s="223">
        <v>1714000</v>
      </c>
    </row>
    <row r="1280" spans="1:5" ht="15">
      <c r="A1280" s="223" t="s">
        <v>230</v>
      </c>
      <c r="B1280" s="223">
        <v>21</v>
      </c>
      <c r="C1280" s="223">
        <v>26</v>
      </c>
      <c r="D1280" s="223">
        <v>3</v>
      </c>
      <c r="E1280" s="223">
        <v>64397</v>
      </c>
    </row>
    <row r="1281" spans="1:5" ht="15">
      <c r="A1281" s="223" t="s">
        <v>230</v>
      </c>
      <c r="B1281" s="223">
        <v>21</v>
      </c>
      <c r="C1281" s="223">
        <v>26</v>
      </c>
      <c r="D1281" s="223">
        <v>4</v>
      </c>
      <c r="E1281" s="223">
        <v>643410</v>
      </c>
    </row>
    <row r="1282" spans="1:5" ht="15">
      <c r="A1282" s="223" t="s">
        <v>230</v>
      </c>
      <c r="B1282" s="223">
        <v>21</v>
      </c>
      <c r="C1282" s="223">
        <v>26</v>
      </c>
      <c r="D1282" s="223">
        <v>5</v>
      </c>
      <c r="E1282" s="223">
        <v>31123</v>
      </c>
    </row>
    <row r="1283" spans="1:5" ht="15">
      <c r="A1283" s="223" t="s">
        <v>230</v>
      </c>
      <c r="B1283" s="223">
        <v>21</v>
      </c>
      <c r="C1283" s="223">
        <v>26</v>
      </c>
      <c r="D1283" s="223">
        <v>7</v>
      </c>
      <c r="E1283" s="223">
        <v>104000</v>
      </c>
    </row>
    <row r="1284" spans="1:5" ht="15">
      <c r="A1284" s="223" t="s">
        <v>230</v>
      </c>
      <c r="B1284" s="223">
        <v>21</v>
      </c>
      <c r="C1284" s="223">
        <v>26</v>
      </c>
      <c r="D1284" s="223">
        <v>8</v>
      </c>
      <c r="E1284" s="223">
        <v>5000</v>
      </c>
    </row>
    <row r="1285" spans="1:5" ht="15">
      <c r="A1285" s="223" t="s">
        <v>230</v>
      </c>
      <c r="B1285" s="223">
        <v>21</v>
      </c>
      <c r="C1285" s="223">
        <v>27</v>
      </c>
      <c r="D1285" s="223">
        <v>0</v>
      </c>
      <c r="E1285" s="223">
        <v>2000</v>
      </c>
    </row>
    <row r="1286" spans="1:5" ht="15">
      <c r="A1286" s="223" t="s">
        <v>230</v>
      </c>
      <c r="B1286" s="223">
        <v>21</v>
      </c>
      <c r="C1286" s="223">
        <v>27</v>
      </c>
      <c r="D1286" s="223">
        <v>2</v>
      </c>
      <c r="E1286" s="223">
        <v>2737174</v>
      </c>
    </row>
    <row r="1287" spans="1:5" ht="15">
      <c r="A1287" s="223" t="s">
        <v>230</v>
      </c>
      <c r="B1287" s="223">
        <v>21</v>
      </c>
      <c r="C1287" s="223">
        <v>27</v>
      </c>
      <c r="D1287" s="223">
        <v>3</v>
      </c>
      <c r="E1287" s="223">
        <v>830704</v>
      </c>
    </row>
    <row r="1288" spans="1:5" ht="15">
      <c r="A1288" s="223" t="s">
        <v>230</v>
      </c>
      <c r="B1288" s="223">
        <v>21</v>
      </c>
      <c r="C1288" s="223">
        <v>27</v>
      </c>
      <c r="D1288" s="223">
        <v>4</v>
      </c>
      <c r="E1288" s="223">
        <v>1619402</v>
      </c>
    </row>
    <row r="1289" spans="1:5" ht="15">
      <c r="A1289" s="223" t="s">
        <v>230</v>
      </c>
      <c r="B1289" s="223">
        <v>21</v>
      </c>
      <c r="C1289" s="223">
        <v>27</v>
      </c>
      <c r="D1289" s="223">
        <v>5</v>
      </c>
      <c r="E1289" s="223">
        <v>17000</v>
      </c>
    </row>
    <row r="1290" spans="1:5" ht="15">
      <c r="A1290" s="223" t="s">
        <v>230</v>
      </c>
      <c r="B1290" s="223">
        <v>21</v>
      </c>
      <c r="C1290" s="223">
        <v>27</v>
      </c>
      <c r="D1290" s="223">
        <v>7</v>
      </c>
      <c r="E1290" s="223">
        <v>10000</v>
      </c>
    </row>
    <row r="1291" spans="1:5" ht="15">
      <c r="A1291" s="223" t="s">
        <v>230</v>
      </c>
      <c r="B1291" s="223">
        <v>21</v>
      </c>
      <c r="C1291" s="223">
        <v>27</v>
      </c>
      <c r="D1291" s="223">
        <v>8</v>
      </c>
      <c r="E1291" s="223">
        <v>2500</v>
      </c>
    </row>
    <row r="1292" spans="1:5" ht="15">
      <c r="A1292" s="223" t="s">
        <v>230</v>
      </c>
      <c r="B1292" s="223">
        <v>21</v>
      </c>
      <c r="C1292" s="223">
        <v>31</v>
      </c>
      <c r="D1292" s="223">
        <v>2</v>
      </c>
      <c r="E1292" s="223">
        <v>102066</v>
      </c>
    </row>
    <row r="1293" spans="1:5" ht="15">
      <c r="A1293" s="223" t="s">
        <v>230</v>
      </c>
      <c r="B1293" s="223">
        <v>21</v>
      </c>
      <c r="C1293" s="223">
        <v>31</v>
      </c>
      <c r="D1293" s="223">
        <v>4</v>
      </c>
      <c r="E1293" s="223">
        <v>35872</v>
      </c>
    </row>
    <row r="1294" spans="1:5" ht="15">
      <c r="A1294" s="223" t="s">
        <v>230</v>
      </c>
      <c r="B1294" s="223">
        <v>21</v>
      </c>
      <c r="C1294" s="223">
        <v>31</v>
      </c>
      <c r="D1294" s="223">
        <v>7</v>
      </c>
      <c r="E1294" s="223">
        <v>5200</v>
      </c>
    </row>
    <row r="1295" spans="1:5" ht="15">
      <c r="A1295" s="223" t="s">
        <v>230</v>
      </c>
      <c r="B1295" s="223">
        <v>21</v>
      </c>
      <c r="C1295" s="223">
        <v>31</v>
      </c>
      <c r="D1295" s="223">
        <v>8</v>
      </c>
      <c r="E1295" s="223">
        <v>1850</v>
      </c>
    </row>
    <row r="1296" spans="1:5" ht="15">
      <c r="A1296" s="223" t="s">
        <v>230</v>
      </c>
      <c r="B1296" s="223">
        <v>21</v>
      </c>
      <c r="C1296" s="223">
        <v>32</v>
      </c>
      <c r="D1296" s="223">
        <v>5</v>
      </c>
      <c r="E1296" s="223">
        <v>5000</v>
      </c>
    </row>
    <row r="1297" spans="1:5" ht="15">
      <c r="A1297" s="223" t="s">
        <v>230</v>
      </c>
      <c r="B1297" s="223">
        <v>21</v>
      </c>
      <c r="C1297" s="223">
        <v>33</v>
      </c>
      <c r="D1297" s="223">
        <v>5</v>
      </c>
      <c r="E1297" s="223">
        <v>5000</v>
      </c>
    </row>
    <row r="1298" spans="1:5" ht="15">
      <c r="A1298" s="223" t="s">
        <v>230</v>
      </c>
      <c r="B1298" s="223">
        <v>21</v>
      </c>
      <c r="C1298" s="223">
        <v>34</v>
      </c>
      <c r="D1298" s="223">
        <v>2</v>
      </c>
      <c r="E1298" s="223">
        <v>65780</v>
      </c>
    </row>
    <row r="1299" spans="1:5" ht="15">
      <c r="A1299" s="223" t="s">
        <v>230</v>
      </c>
      <c r="B1299" s="223">
        <v>21</v>
      </c>
      <c r="C1299" s="223">
        <v>34</v>
      </c>
      <c r="D1299" s="223">
        <v>4</v>
      </c>
      <c r="E1299" s="223">
        <v>24194</v>
      </c>
    </row>
    <row r="1300" spans="1:5" ht="15">
      <c r="A1300" s="223" t="s">
        <v>230</v>
      </c>
      <c r="B1300" s="223">
        <v>23</v>
      </c>
      <c r="C1300" s="223">
        <v>27</v>
      </c>
      <c r="D1300" s="223">
        <v>3</v>
      </c>
      <c r="E1300" s="223">
        <v>22539</v>
      </c>
    </row>
    <row r="1301" spans="1:5" ht="15">
      <c r="A1301" s="223" t="s">
        <v>230</v>
      </c>
      <c r="B1301" s="223">
        <v>23</v>
      </c>
      <c r="C1301" s="223">
        <v>27</v>
      </c>
      <c r="D1301" s="223">
        <v>4</v>
      </c>
      <c r="E1301" s="223">
        <v>17539</v>
      </c>
    </row>
    <row r="1302" spans="1:5" ht="15">
      <c r="A1302" s="223" t="s">
        <v>230</v>
      </c>
      <c r="B1302" s="223">
        <v>24</v>
      </c>
      <c r="C1302" s="223">
        <v>27</v>
      </c>
      <c r="D1302" s="223">
        <v>3</v>
      </c>
      <c r="E1302" s="223">
        <v>588494</v>
      </c>
    </row>
    <row r="1303" spans="1:5" ht="15">
      <c r="A1303" s="223" t="s">
        <v>230</v>
      </c>
      <c r="B1303" s="223">
        <v>24</v>
      </c>
      <c r="C1303" s="223">
        <v>27</v>
      </c>
      <c r="D1303" s="223">
        <v>4</v>
      </c>
      <c r="E1303" s="223">
        <v>413340</v>
      </c>
    </row>
    <row r="1304" spans="1:5" ht="15">
      <c r="A1304" s="223" t="s">
        <v>231</v>
      </c>
      <c r="B1304" s="223">
        <v>21</v>
      </c>
      <c r="C1304" s="223">
        <v>21</v>
      </c>
      <c r="D1304" s="223">
        <v>2</v>
      </c>
      <c r="E1304" s="223">
        <v>138973</v>
      </c>
    </row>
    <row r="1305" spans="1:5" ht="15">
      <c r="A1305" s="223" t="s">
        <v>231</v>
      </c>
      <c r="B1305" s="223">
        <v>21</v>
      </c>
      <c r="C1305" s="223">
        <v>21</v>
      </c>
      <c r="D1305" s="223">
        <v>3</v>
      </c>
      <c r="E1305" s="223">
        <v>63107</v>
      </c>
    </row>
    <row r="1306" spans="1:5" ht="15">
      <c r="A1306" s="223" t="s">
        <v>231</v>
      </c>
      <c r="B1306" s="223">
        <v>21</v>
      </c>
      <c r="C1306" s="223">
        <v>21</v>
      </c>
      <c r="D1306" s="223">
        <v>4</v>
      </c>
      <c r="E1306" s="223">
        <v>65027</v>
      </c>
    </row>
    <row r="1307" spans="1:5" ht="15">
      <c r="A1307" s="223" t="s">
        <v>231</v>
      </c>
      <c r="B1307" s="223">
        <v>21</v>
      </c>
      <c r="C1307" s="223">
        <v>21</v>
      </c>
      <c r="D1307" s="223">
        <v>7</v>
      </c>
      <c r="E1307" s="223">
        <v>1000</v>
      </c>
    </row>
    <row r="1308" spans="1:5" ht="15">
      <c r="A1308" s="223" t="s">
        <v>231</v>
      </c>
      <c r="B1308" s="223">
        <v>21</v>
      </c>
      <c r="C1308" s="223">
        <v>26</v>
      </c>
      <c r="D1308" s="223">
        <v>2</v>
      </c>
      <c r="E1308" s="223">
        <v>716116</v>
      </c>
    </row>
    <row r="1309" spans="1:5" ht="15">
      <c r="A1309" s="223" t="s">
        <v>231</v>
      </c>
      <c r="B1309" s="223">
        <v>21</v>
      </c>
      <c r="C1309" s="223">
        <v>26</v>
      </c>
      <c r="D1309" s="223">
        <v>3</v>
      </c>
      <c r="E1309" s="223">
        <v>147720</v>
      </c>
    </row>
    <row r="1310" spans="1:5" ht="15">
      <c r="A1310" s="223" t="s">
        <v>231</v>
      </c>
      <c r="B1310" s="223">
        <v>21</v>
      </c>
      <c r="C1310" s="223">
        <v>26</v>
      </c>
      <c r="D1310" s="223">
        <v>4</v>
      </c>
      <c r="E1310" s="223">
        <v>382813</v>
      </c>
    </row>
    <row r="1311" spans="1:5" ht="15">
      <c r="A1311" s="223" t="s">
        <v>231</v>
      </c>
      <c r="B1311" s="223">
        <v>21</v>
      </c>
      <c r="C1311" s="223">
        <v>26</v>
      </c>
      <c r="D1311" s="223">
        <v>5</v>
      </c>
      <c r="E1311" s="223">
        <v>20000</v>
      </c>
    </row>
    <row r="1312" spans="1:5" ht="15">
      <c r="A1312" s="223" t="s">
        <v>231</v>
      </c>
      <c r="B1312" s="223">
        <v>21</v>
      </c>
      <c r="C1312" s="223">
        <v>26</v>
      </c>
      <c r="D1312" s="223">
        <v>7</v>
      </c>
      <c r="E1312" s="223">
        <v>659300</v>
      </c>
    </row>
    <row r="1313" spans="1:5" ht="15">
      <c r="A1313" s="223" t="s">
        <v>231</v>
      </c>
      <c r="B1313" s="223">
        <v>21</v>
      </c>
      <c r="C1313" s="223">
        <v>27</v>
      </c>
      <c r="D1313" s="223">
        <v>0</v>
      </c>
      <c r="E1313" s="223">
        <v>1500</v>
      </c>
    </row>
    <row r="1314" spans="1:5" ht="15">
      <c r="A1314" s="223" t="s">
        <v>231</v>
      </c>
      <c r="B1314" s="223">
        <v>21</v>
      </c>
      <c r="C1314" s="223">
        <v>27</v>
      </c>
      <c r="D1314" s="223">
        <v>2</v>
      </c>
      <c r="E1314" s="223">
        <v>1468316</v>
      </c>
    </row>
    <row r="1315" spans="1:5" ht="15">
      <c r="A1315" s="223" t="s">
        <v>231</v>
      </c>
      <c r="B1315" s="223">
        <v>21</v>
      </c>
      <c r="C1315" s="223">
        <v>27</v>
      </c>
      <c r="D1315" s="223">
        <v>3</v>
      </c>
      <c r="E1315" s="223">
        <v>319344</v>
      </c>
    </row>
    <row r="1316" spans="1:5" ht="15">
      <c r="A1316" s="223" t="s">
        <v>231</v>
      </c>
      <c r="B1316" s="223">
        <v>21</v>
      </c>
      <c r="C1316" s="223">
        <v>27</v>
      </c>
      <c r="D1316" s="223">
        <v>4</v>
      </c>
      <c r="E1316" s="223">
        <v>798171</v>
      </c>
    </row>
    <row r="1317" spans="1:5" ht="15">
      <c r="A1317" s="223" t="s">
        <v>231</v>
      </c>
      <c r="B1317" s="223">
        <v>21</v>
      </c>
      <c r="C1317" s="223">
        <v>27</v>
      </c>
      <c r="D1317" s="223">
        <v>5</v>
      </c>
      <c r="E1317" s="223">
        <v>15000</v>
      </c>
    </row>
    <row r="1318" spans="1:5" ht="15">
      <c r="A1318" s="223" t="s">
        <v>231</v>
      </c>
      <c r="B1318" s="223">
        <v>21</v>
      </c>
      <c r="C1318" s="223">
        <v>27</v>
      </c>
      <c r="D1318" s="223">
        <v>7</v>
      </c>
      <c r="E1318" s="223">
        <v>153600</v>
      </c>
    </row>
    <row r="1319" spans="1:5" ht="15">
      <c r="A1319" s="223" t="s">
        <v>231</v>
      </c>
      <c r="B1319" s="223">
        <v>21</v>
      </c>
      <c r="C1319" s="223">
        <v>31</v>
      </c>
      <c r="D1319" s="223">
        <v>2</v>
      </c>
      <c r="E1319" s="223">
        <v>53701</v>
      </c>
    </row>
    <row r="1320" spans="1:5" ht="15">
      <c r="A1320" s="223" t="s">
        <v>231</v>
      </c>
      <c r="B1320" s="223">
        <v>21</v>
      </c>
      <c r="C1320" s="223">
        <v>31</v>
      </c>
      <c r="D1320" s="223">
        <v>4</v>
      </c>
      <c r="E1320" s="223">
        <v>12414</v>
      </c>
    </row>
    <row r="1321" spans="1:5" ht="15">
      <c r="A1321" s="223" t="s">
        <v>231</v>
      </c>
      <c r="B1321" s="223">
        <v>24</v>
      </c>
      <c r="C1321" s="223">
        <v>21</v>
      </c>
      <c r="D1321" s="223">
        <v>2</v>
      </c>
      <c r="E1321" s="223">
        <v>22623</v>
      </c>
    </row>
    <row r="1322" spans="1:5" ht="15">
      <c r="A1322" s="223" t="s">
        <v>231</v>
      </c>
      <c r="B1322" s="223">
        <v>24</v>
      </c>
      <c r="C1322" s="223">
        <v>21</v>
      </c>
      <c r="D1322" s="223">
        <v>4</v>
      </c>
      <c r="E1322" s="223">
        <v>6472</v>
      </c>
    </row>
    <row r="1323" spans="1:5" ht="15">
      <c r="A1323" s="223" t="s">
        <v>231</v>
      </c>
      <c r="B1323" s="223">
        <v>24</v>
      </c>
      <c r="C1323" s="223">
        <v>26</v>
      </c>
      <c r="D1323" s="223">
        <v>2</v>
      </c>
      <c r="E1323" s="223">
        <v>8754</v>
      </c>
    </row>
    <row r="1324" spans="1:5" ht="15">
      <c r="A1324" s="223" t="s">
        <v>231</v>
      </c>
      <c r="B1324" s="223">
        <v>24</v>
      </c>
      <c r="C1324" s="223">
        <v>26</v>
      </c>
      <c r="D1324" s="223">
        <v>4</v>
      </c>
      <c r="E1324" s="223">
        <v>3266</v>
      </c>
    </row>
    <row r="1325" spans="1:5" ht="15">
      <c r="A1325" s="223" t="s">
        <v>231</v>
      </c>
      <c r="B1325" s="223">
        <v>24</v>
      </c>
      <c r="C1325" s="223">
        <v>27</v>
      </c>
      <c r="D1325" s="223">
        <v>2</v>
      </c>
      <c r="E1325" s="223">
        <v>2513</v>
      </c>
    </row>
    <row r="1326" spans="1:5" ht="15">
      <c r="A1326" s="223" t="s">
        <v>231</v>
      </c>
      <c r="B1326" s="223">
        <v>24</v>
      </c>
      <c r="C1326" s="223">
        <v>27</v>
      </c>
      <c r="D1326" s="223">
        <v>3</v>
      </c>
      <c r="E1326" s="223">
        <v>347381</v>
      </c>
    </row>
    <row r="1327" spans="1:5" ht="15">
      <c r="A1327" s="223" t="s">
        <v>231</v>
      </c>
      <c r="B1327" s="223">
        <v>24</v>
      </c>
      <c r="C1327" s="223">
        <v>27</v>
      </c>
      <c r="D1327" s="223">
        <v>4</v>
      </c>
      <c r="E1327" s="223">
        <v>232377</v>
      </c>
    </row>
    <row r="1328" spans="1:5" ht="15">
      <c r="A1328" s="223" t="s">
        <v>231</v>
      </c>
      <c r="B1328" s="223">
        <v>24</v>
      </c>
      <c r="C1328" s="223">
        <v>27</v>
      </c>
      <c r="D1328" s="223">
        <v>5</v>
      </c>
      <c r="E1328" s="223">
        <v>2655</v>
      </c>
    </row>
    <row r="1329" spans="1:5" ht="15">
      <c r="A1329" s="223" t="s">
        <v>231</v>
      </c>
      <c r="B1329" s="223">
        <v>24</v>
      </c>
      <c r="C1329" s="223">
        <v>31</v>
      </c>
      <c r="D1329" s="223">
        <v>2</v>
      </c>
      <c r="E1329" s="223">
        <v>198</v>
      </c>
    </row>
    <row r="1330" spans="1:5" ht="15">
      <c r="A1330" s="223" t="s">
        <v>231</v>
      </c>
      <c r="B1330" s="223">
        <v>24</v>
      </c>
      <c r="C1330" s="223">
        <v>31</v>
      </c>
      <c r="D1330" s="223">
        <v>4</v>
      </c>
      <c r="E1330" s="223">
        <v>46</v>
      </c>
    </row>
    <row r="1331" spans="1:5" ht="15">
      <c r="A1331" s="223" t="s">
        <v>232</v>
      </c>
      <c r="B1331" s="223">
        <v>21</v>
      </c>
      <c r="C1331" s="223">
        <v>21</v>
      </c>
      <c r="D1331" s="223">
        <v>2</v>
      </c>
      <c r="E1331" s="223">
        <v>293959</v>
      </c>
    </row>
    <row r="1332" spans="1:5" ht="15">
      <c r="A1332" s="223" t="s">
        <v>232</v>
      </c>
      <c r="B1332" s="223">
        <v>21</v>
      </c>
      <c r="C1332" s="223">
        <v>21</v>
      </c>
      <c r="D1332" s="223">
        <v>3</v>
      </c>
      <c r="E1332" s="223">
        <v>68812</v>
      </c>
    </row>
    <row r="1333" spans="1:5" ht="15">
      <c r="A1333" s="223" t="s">
        <v>232</v>
      </c>
      <c r="B1333" s="223">
        <v>21</v>
      </c>
      <c r="C1333" s="223">
        <v>21</v>
      </c>
      <c r="D1333" s="223">
        <v>4</v>
      </c>
      <c r="E1333" s="223">
        <v>119898</v>
      </c>
    </row>
    <row r="1334" spans="1:5" ht="15">
      <c r="A1334" s="223" t="s">
        <v>232</v>
      </c>
      <c r="B1334" s="223">
        <v>21</v>
      </c>
      <c r="C1334" s="223">
        <v>21</v>
      </c>
      <c r="D1334" s="223">
        <v>5</v>
      </c>
      <c r="E1334" s="223">
        <v>3800</v>
      </c>
    </row>
    <row r="1335" spans="1:5" ht="15">
      <c r="A1335" s="223" t="s">
        <v>232</v>
      </c>
      <c r="B1335" s="223">
        <v>21</v>
      </c>
      <c r="C1335" s="223">
        <v>21</v>
      </c>
      <c r="D1335" s="223">
        <v>7</v>
      </c>
      <c r="E1335" s="223">
        <v>300</v>
      </c>
    </row>
    <row r="1336" spans="1:5" ht="15">
      <c r="A1336" s="223" t="s">
        <v>232</v>
      </c>
      <c r="B1336" s="223">
        <v>21</v>
      </c>
      <c r="C1336" s="223">
        <v>21</v>
      </c>
      <c r="D1336" s="223">
        <v>8</v>
      </c>
      <c r="E1336" s="223">
        <v>5000</v>
      </c>
    </row>
    <row r="1337" spans="1:5" ht="15">
      <c r="A1337" s="223" t="s">
        <v>232</v>
      </c>
      <c r="B1337" s="223">
        <v>21</v>
      </c>
      <c r="C1337" s="223">
        <v>25</v>
      </c>
      <c r="D1337" s="223">
        <v>5</v>
      </c>
      <c r="E1337" s="223">
        <v>1500</v>
      </c>
    </row>
    <row r="1338" spans="1:5" ht="15">
      <c r="A1338" s="223" t="s">
        <v>232</v>
      </c>
      <c r="B1338" s="223">
        <v>21</v>
      </c>
      <c r="C1338" s="223">
        <v>26</v>
      </c>
      <c r="D1338" s="223">
        <v>2</v>
      </c>
      <c r="E1338" s="223">
        <v>1718517</v>
      </c>
    </row>
    <row r="1339" spans="1:5" ht="15">
      <c r="A1339" s="223" t="s">
        <v>232</v>
      </c>
      <c r="B1339" s="223">
        <v>21</v>
      </c>
      <c r="C1339" s="223">
        <v>26</v>
      </c>
      <c r="D1339" s="223">
        <v>3</v>
      </c>
      <c r="E1339" s="223">
        <v>223081</v>
      </c>
    </row>
    <row r="1340" spans="1:5" ht="15">
      <c r="A1340" s="223" t="s">
        <v>232</v>
      </c>
      <c r="B1340" s="223">
        <v>21</v>
      </c>
      <c r="C1340" s="223">
        <v>26</v>
      </c>
      <c r="D1340" s="223">
        <v>4</v>
      </c>
      <c r="E1340" s="223">
        <v>778413</v>
      </c>
    </row>
    <row r="1341" spans="1:5" ht="15">
      <c r="A1341" s="223" t="s">
        <v>232</v>
      </c>
      <c r="B1341" s="223">
        <v>21</v>
      </c>
      <c r="C1341" s="223">
        <v>26</v>
      </c>
      <c r="D1341" s="223">
        <v>5</v>
      </c>
      <c r="E1341" s="223">
        <v>32450</v>
      </c>
    </row>
    <row r="1342" spans="1:5" ht="15">
      <c r="A1342" s="223" t="s">
        <v>232</v>
      </c>
      <c r="B1342" s="223">
        <v>21</v>
      </c>
      <c r="C1342" s="223">
        <v>26</v>
      </c>
      <c r="D1342" s="223">
        <v>7</v>
      </c>
      <c r="E1342" s="223">
        <v>23300</v>
      </c>
    </row>
    <row r="1343" spans="1:5" ht="15">
      <c r="A1343" s="223" t="s">
        <v>232</v>
      </c>
      <c r="B1343" s="223">
        <v>21</v>
      </c>
      <c r="C1343" s="223">
        <v>26</v>
      </c>
      <c r="D1343" s="223">
        <v>8</v>
      </c>
      <c r="E1343" s="223">
        <v>2300</v>
      </c>
    </row>
    <row r="1344" spans="1:5" ht="15">
      <c r="A1344" s="223" t="s">
        <v>232</v>
      </c>
      <c r="B1344" s="223">
        <v>21</v>
      </c>
      <c r="C1344" s="223">
        <v>27</v>
      </c>
      <c r="D1344" s="223">
        <v>2</v>
      </c>
      <c r="E1344" s="223">
        <v>2766421</v>
      </c>
    </row>
    <row r="1345" spans="1:5" ht="15">
      <c r="A1345" s="223" t="s">
        <v>232</v>
      </c>
      <c r="B1345" s="223">
        <v>21</v>
      </c>
      <c r="C1345" s="223">
        <v>27</v>
      </c>
      <c r="D1345" s="223">
        <v>3</v>
      </c>
      <c r="E1345" s="223">
        <v>1545510</v>
      </c>
    </row>
    <row r="1346" spans="1:5" ht="15">
      <c r="A1346" s="223" t="s">
        <v>232</v>
      </c>
      <c r="B1346" s="223">
        <v>21</v>
      </c>
      <c r="C1346" s="223">
        <v>27</v>
      </c>
      <c r="D1346" s="223">
        <v>4</v>
      </c>
      <c r="E1346" s="223">
        <v>1999402</v>
      </c>
    </row>
    <row r="1347" spans="1:5" ht="15">
      <c r="A1347" s="223" t="s">
        <v>232</v>
      </c>
      <c r="B1347" s="223">
        <v>21</v>
      </c>
      <c r="C1347" s="223">
        <v>27</v>
      </c>
      <c r="D1347" s="223">
        <v>5</v>
      </c>
      <c r="E1347" s="223">
        <v>105010</v>
      </c>
    </row>
    <row r="1348" spans="1:5" ht="15">
      <c r="A1348" s="223" t="s">
        <v>232</v>
      </c>
      <c r="B1348" s="223">
        <v>21</v>
      </c>
      <c r="C1348" s="223">
        <v>27</v>
      </c>
      <c r="D1348" s="223">
        <v>7</v>
      </c>
      <c r="E1348" s="223">
        <v>22000</v>
      </c>
    </row>
    <row r="1349" spans="1:5" ht="15">
      <c r="A1349" s="223" t="s">
        <v>232</v>
      </c>
      <c r="B1349" s="223">
        <v>21</v>
      </c>
      <c r="C1349" s="223">
        <v>27</v>
      </c>
      <c r="D1349" s="223">
        <v>8</v>
      </c>
      <c r="E1349" s="223">
        <v>250</v>
      </c>
    </row>
    <row r="1350" spans="1:5" ht="15">
      <c r="A1350" s="223" t="s">
        <v>232</v>
      </c>
      <c r="B1350" s="223">
        <v>21</v>
      </c>
      <c r="C1350" s="223">
        <v>31</v>
      </c>
      <c r="D1350" s="223">
        <v>5</v>
      </c>
      <c r="E1350" s="223">
        <v>900</v>
      </c>
    </row>
    <row r="1351" spans="1:5" ht="15">
      <c r="A1351" s="223" t="s">
        <v>232</v>
      </c>
      <c r="B1351" s="223">
        <v>21</v>
      </c>
      <c r="C1351" s="223">
        <v>31</v>
      </c>
      <c r="D1351" s="223">
        <v>7</v>
      </c>
      <c r="E1351" s="223">
        <v>13000</v>
      </c>
    </row>
    <row r="1352" spans="1:5" ht="15">
      <c r="A1352" s="223" t="s">
        <v>232</v>
      </c>
      <c r="B1352" s="223">
        <v>21</v>
      </c>
      <c r="C1352" s="223">
        <v>31</v>
      </c>
      <c r="D1352" s="223">
        <v>8</v>
      </c>
      <c r="E1352" s="223">
        <v>2000</v>
      </c>
    </row>
    <row r="1353" spans="1:5" ht="15">
      <c r="A1353" s="223" t="s">
        <v>232</v>
      </c>
      <c r="B1353" s="223">
        <v>21</v>
      </c>
      <c r="C1353" s="223">
        <v>32</v>
      </c>
      <c r="D1353" s="223">
        <v>5</v>
      </c>
      <c r="E1353" s="223">
        <v>1000</v>
      </c>
    </row>
    <row r="1354" spans="1:5" ht="15">
      <c r="A1354" s="223" t="s">
        <v>232</v>
      </c>
      <c r="B1354" s="223">
        <v>21</v>
      </c>
      <c r="C1354" s="223">
        <v>32</v>
      </c>
      <c r="D1354" s="223">
        <v>7</v>
      </c>
      <c r="E1354" s="223">
        <v>2400</v>
      </c>
    </row>
    <row r="1355" spans="1:5" ht="15">
      <c r="A1355" s="223" t="s">
        <v>232</v>
      </c>
      <c r="B1355" s="223">
        <v>21</v>
      </c>
      <c r="C1355" s="223">
        <v>33</v>
      </c>
      <c r="D1355" s="223">
        <v>5</v>
      </c>
      <c r="E1355" s="223">
        <v>5000</v>
      </c>
    </row>
    <row r="1356" spans="1:5" ht="15">
      <c r="A1356" s="223" t="s">
        <v>232</v>
      </c>
      <c r="B1356" s="223">
        <v>21</v>
      </c>
      <c r="C1356" s="223">
        <v>34</v>
      </c>
      <c r="D1356" s="223">
        <v>2</v>
      </c>
      <c r="E1356" s="223">
        <v>72470</v>
      </c>
    </row>
    <row r="1357" spans="1:5" ht="15">
      <c r="A1357" s="223" t="s">
        <v>232</v>
      </c>
      <c r="B1357" s="223">
        <v>21</v>
      </c>
      <c r="C1357" s="223">
        <v>34</v>
      </c>
      <c r="D1357" s="223">
        <v>4</v>
      </c>
      <c r="E1357" s="223">
        <v>16992</v>
      </c>
    </row>
    <row r="1358" spans="1:5" ht="15">
      <c r="A1358" s="223" t="s">
        <v>232</v>
      </c>
      <c r="B1358" s="223">
        <v>23</v>
      </c>
      <c r="C1358" s="223">
        <v>27</v>
      </c>
      <c r="D1358" s="223">
        <v>3</v>
      </c>
      <c r="E1358" s="223">
        <v>80785</v>
      </c>
    </row>
    <row r="1359" spans="1:5" ht="15">
      <c r="A1359" s="223" t="s">
        <v>232</v>
      </c>
      <c r="B1359" s="223">
        <v>23</v>
      </c>
      <c r="C1359" s="223">
        <v>27</v>
      </c>
      <c r="D1359" s="223">
        <v>4</v>
      </c>
      <c r="E1359" s="223">
        <v>41077</v>
      </c>
    </row>
    <row r="1360" spans="1:5" ht="15">
      <c r="A1360" s="223" t="s">
        <v>232</v>
      </c>
      <c r="B1360" s="223">
        <v>23</v>
      </c>
      <c r="C1360" s="223">
        <v>31</v>
      </c>
      <c r="D1360" s="223">
        <v>7</v>
      </c>
      <c r="E1360" s="223">
        <v>66071</v>
      </c>
    </row>
    <row r="1361" spans="1:5" ht="15">
      <c r="A1361" s="223" t="s">
        <v>232</v>
      </c>
      <c r="B1361" s="223">
        <v>24</v>
      </c>
      <c r="C1361" s="223">
        <v>27</v>
      </c>
      <c r="D1361" s="223">
        <v>3</v>
      </c>
      <c r="E1361" s="223">
        <v>705353</v>
      </c>
    </row>
    <row r="1362" spans="1:5" ht="15">
      <c r="A1362" s="223" t="s">
        <v>232</v>
      </c>
      <c r="B1362" s="223">
        <v>24</v>
      </c>
      <c r="C1362" s="223">
        <v>27</v>
      </c>
      <c r="D1362" s="223">
        <v>4</v>
      </c>
      <c r="E1362" s="223">
        <v>414168</v>
      </c>
    </row>
    <row r="1363" spans="1:5" ht="15">
      <c r="A1363" s="223" t="s">
        <v>234</v>
      </c>
      <c r="B1363" s="223">
        <v>21</v>
      </c>
      <c r="C1363" s="223">
        <v>26</v>
      </c>
      <c r="D1363" s="223">
        <v>7</v>
      </c>
      <c r="E1363" s="223">
        <v>9132</v>
      </c>
    </row>
    <row r="1364" spans="1:5" ht="15">
      <c r="A1364" s="223" t="s">
        <v>234</v>
      </c>
      <c r="B1364" s="223">
        <v>21</v>
      </c>
      <c r="C1364" s="223">
        <v>27</v>
      </c>
      <c r="D1364" s="223">
        <v>2</v>
      </c>
      <c r="E1364" s="223">
        <v>45995</v>
      </c>
    </row>
    <row r="1365" spans="1:5" ht="15">
      <c r="A1365" s="223" t="s">
        <v>234</v>
      </c>
      <c r="B1365" s="223">
        <v>21</v>
      </c>
      <c r="C1365" s="223">
        <v>27</v>
      </c>
      <c r="D1365" s="223">
        <v>4</v>
      </c>
      <c r="E1365" s="223">
        <v>16680</v>
      </c>
    </row>
    <row r="1366" spans="1:5" ht="15">
      <c r="A1366" s="223" t="s">
        <v>234</v>
      </c>
      <c r="B1366" s="223">
        <v>21</v>
      </c>
      <c r="C1366" s="223">
        <v>27</v>
      </c>
      <c r="D1366" s="223">
        <v>5</v>
      </c>
      <c r="E1366" s="223">
        <v>2000</v>
      </c>
    </row>
    <row r="1367" spans="1:5" ht="15">
      <c r="A1367" s="223" t="s">
        <v>234</v>
      </c>
      <c r="B1367" s="223">
        <v>21</v>
      </c>
      <c r="C1367" s="223">
        <v>27</v>
      </c>
      <c r="D1367" s="223">
        <v>7</v>
      </c>
      <c r="E1367" s="223">
        <v>88090</v>
      </c>
    </row>
    <row r="1368" spans="1:5" ht="15">
      <c r="A1368" s="223" t="s">
        <v>234</v>
      </c>
      <c r="B1368" s="223">
        <v>24</v>
      </c>
      <c r="C1368" s="223">
        <v>27</v>
      </c>
      <c r="D1368" s="223">
        <v>2</v>
      </c>
      <c r="E1368" s="223">
        <v>45995</v>
      </c>
    </row>
    <row r="1369" spans="1:5" ht="15">
      <c r="A1369" s="223" t="s">
        <v>234</v>
      </c>
      <c r="B1369" s="223">
        <v>24</v>
      </c>
      <c r="C1369" s="223">
        <v>27</v>
      </c>
      <c r="D1369" s="223">
        <v>4</v>
      </c>
      <c r="E1369" s="223">
        <v>16680</v>
      </c>
    </row>
    <row r="1370" spans="1:5" ht="15">
      <c r="A1370" s="223" t="s">
        <v>236</v>
      </c>
      <c r="B1370" s="223">
        <v>21</v>
      </c>
      <c r="C1370" s="223">
        <v>21</v>
      </c>
      <c r="D1370" s="223">
        <v>2</v>
      </c>
      <c r="E1370" s="223">
        <v>93089</v>
      </c>
    </row>
    <row r="1371" spans="1:5" ht="15">
      <c r="A1371" s="223" t="s">
        <v>236</v>
      </c>
      <c r="B1371" s="223">
        <v>21</v>
      </c>
      <c r="C1371" s="223">
        <v>21</v>
      </c>
      <c r="D1371" s="223">
        <v>3</v>
      </c>
      <c r="E1371" s="223">
        <v>58586</v>
      </c>
    </row>
    <row r="1372" spans="1:5" ht="15">
      <c r="A1372" s="223" t="s">
        <v>236</v>
      </c>
      <c r="B1372" s="223">
        <v>21</v>
      </c>
      <c r="C1372" s="223">
        <v>21</v>
      </c>
      <c r="D1372" s="223">
        <v>4</v>
      </c>
      <c r="E1372" s="223">
        <v>51800</v>
      </c>
    </row>
    <row r="1373" spans="1:5" ht="15">
      <c r="A1373" s="223" t="s">
        <v>236</v>
      </c>
      <c r="B1373" s="223">
        <v>21</v>
      </c>
      <c r="C1373" s="223">
        <v>21</v>
      </c>
      <c r="D1373" s="223">
        <v>5</v>
      </c>
      <c r="E1373" s="223">
        <v>1200</v>
      </c>
    </row>
    <row r="1374" spans="1:5" ht="15">
      <c r="A1374" s="223" t="s">
        <v>236</v>
      </c>
      <c r="B1374" s="223">
        <v>21</v>
      </c>
      <c r="C1374" s="223">
        <v>21</v>
      </c>
      <c r="D1374" s="223">
        <v>7</v>
      </c>
      <c r="E1374" s="223">
        <v>1500</v>
      </c>
    </row>
    <row r="1375" spans="1:5" ht="15">
      <c r="A1375" s="223" t="s">
        <v>236</v>
      </c>
      <c r="B1375" s="223">
        <v>21</v>
      </c>
      <c r="C1375" s="223">
        <v>21</v>
      </c>
      <c r="D1375" s="223">
        <v>8</v>
      </c>
      <c r="E1375" s="223">
        <v>500</v>
      </c>
    </row>
    <row r="1376" spans="1:5" ht="15">
      <c r="A1376" s="223" t="s">
        <v>236</v>
      </c>
      <c r="B1376" s="223">
        <v>21</v>
      </c>
      <c r="C1376" s="223">
        <v>24</v>
      </c>
      <c r="D1376" s="223">
        <v>2</v>
      </c>
      <c r="E1376" s="223">
        <v>76701</v>
      </c>
    </row>
    <row r="1377" spans="1:5" ht="15">
      <c r="A1377" s="223" t="s">
        <v>236</v>
      </c>
      <c r="B1377" s="223">
        <v>21</v>
      </c>
      <c r="C1377" s="223">
        <v>24</v>
      </c>
      <c r="D1377" s="223">
        <v>4</v>
      </c>
      <c r="E1377" s="223">
        <v>26544</v>
      </c>
    </row>
    <row r="1378" spans="1:5" ht="15">
      <c r="A1378" s="223" t="s">
        <v>236</v>
      </c>
      <c r="B1378" s="223">
        <v>21</v>
      </c>
      <c r="C1378" s="223">
        <v>24</v>
      </c>
      <c r="D1378" s="223">
        <v>7</v>
      </c>
      <c r="E1378" s="223">
        <v>500</v>
      </c>
    </row>
    <row r="1379" spans="1:5" ht="15">
      <c r="A1379" s="223" t="s">
        <v>236</v>
      </c>
      <c r="B1379" s="223">
        <v>21</v>
      </c>
      <c r="C1379" s="223">
        <v>26</v>
      </c>
      <c r="D1379" s="223">
        <v>2</v>
      </c>
      <c r="E1379" s="223">
        <v>290906</v>
      </c>
    </row>
    <row r="1380" spans="1:5" ht="15">
      <c r="A1380" s="223" t="s">
        <v>236</v>
      </c>
      <c r="B1380" s="223">
        <v>21</v>
      </c>
      <c r="C1380" s="223">
        <v>26</v>
      </c>
      <c r="D1380" s="223">
        <v>3</v>
      </c>
      <c r="E1380" s="223">
        <v>44498</v>
      </c>
    </row>
    <row r="1381" spans="1:5" ht="15">
      <c r="A1381" s="223" t="s">
        <v>236</v>
      </c>
      <c r="B1381" s="223">
        <v>21</v>
      </c>
      <c r="C1381" s="223">
        <v>26</v>
      </c>
      <c r="D1381" s="223">
        <v>4</v>
      </c>
      <c r="E1381" s="223">
        <v>139511</v>
      </c>
    </row>
    <row r="1382" spans="1:5" ht="15">
      <c r="A1382" s="223" t="s">
        <v>236</v>
      </c>
      <c r="B1382" s="223">
        <v>21</v>
      </c>
      <c r="C1382" s="223">
        <v>26</v>
      </c>
      <c r="D1382" s="223">
        <v>5</v>
      </c>
      <c r="E1382" s="223">
        <v>600</v>
      </c>
    </row>
    <row r="1383" spans="1:5" ht="15">
      <c r="A1383" s="223" t="s">
        <v>236</v>
      </c>
      <c r="B1383" s="223">
        <v>21</v>
      </c>
      <c r="C1383" s="223">
        <v>26</v>
      </c>
      <c r="D1383" s="223">
        <v>7</v>
      </c>
      <c r="E1383" s="223">
        <v>252600</v>
      </c>
    </row>
    <row r="1384" spans="1:5" ht="15">
      <c r="A1384" s="223" t="s">
        <v>236</v>
      </c>
      <c r="B1384" s="223">
        <v>21</v>
      </c>
      <c r="C1384" s="223">
        <v>26</v>
      </c>
      <c r="D1384" s="223">
        <v>8</v>
      </c>
      <c r="E1384" s="223">
        <v>1600</v>
      </c>
    </row>
    <row r="1385" spans="1:5" ht="15">
      <c r="A1385" s="223" t="s">
        <v>236</v>
      </c>
      <c r="B1385" s="223">
        <v>21</v>
      </c>
      <c r="C1385" s="223">
        <v>27</v>
      </c>
      <c r="D1385" s="223">
        <v>0</v>
      </c>
      <c r="E1385" s="223">
        <v>600</v>
      </c>
    </row>
    <row r="1386" spans="1:5" ht="15">
      <c r="A1386" s="223" t="s">
        <v>236</v>
      </c>
      <c r="B1386" s="223">
        <v>21</v>
      </c>
      <c r="C1386" s="223">
        <v>27</v>
      </c>
      <c r="D1386" s="223">
        <v>2</v>
      </c>
      <c r="E1386" s="223">
        <v>936700</v>
      </c>
    </row>
    <row r="1387" spans="1:5" ht="15">
      <c r="A1387" s="223" t="s">
        <v>236</v>
      </c>
      <c r="B1387" s="223">
        <v>21</v>
      </c>
      <c r="C1387" s="223">
        <v>27</v>
      </c>
      <c r="D1387" s="223">
        <v>3</v>
      </c>
      <c r="E1387" s="223">
        <v>541312</v>
      </c>
    </row>
    <row r="1388" spans="1:5" ht="15">
      <c r="A1388" s="223" t="s">
        <v>236</v>
      </c>
      <c r="B1388" s="223">
        <v>21</v>
      </c>
      <c r="C1388" s="223">
        <v>27</v>
      </c>
      <c r="D1388" s="223">
        <v>4</v>
      </c>
      <c r="E1388" s="223">
        <v>705057</v>
      </c>
    </row>
    <row r="1389" spans="1:5" ht="15">
      <c r="A1389" s="223" t="s">
        <v>236</v>
      </c>
      <c r="B1389" s="223">
        <v>21</v>
      </c>
      <c r="C1389" s="223">
        <v>27</v>
      </c>
      <c r="D1389" s="223">
        <v>5</v>
      </c>
      <c r="E1389" s="223">
        <v>14500</v>
      </c>
    </row>
    <row r="1390" spans="1:5" ht="15">
      <c r="A1390" s="223" t="s">
        <v>236</v>
      </c>
      <c r="B1390" s="223">
        <v>21</v>
      </c>
      <c r="C1390" s="223">
        <v>27</v>
      </c>
      <c r="D1390" s="223">
        <v>7</v>
      </c>
      <c r="E1390" s="223">
        <v>31400</v>
      </c>
    </row>
    <row r="1391" spans="1:5" ht="15">
      <c r="A1391" s="223" t="s">
        <v>236</v>
      </c>
      <c r="B1391" s="223">
        <v>21</v>
      </c>
      <c r="C1391" s="223">
        <v>31</v>
      </c>
      <c r="D1391" s="223">
        <v>7</v>
      </c>
      <c r="E1391" s="223">
        <v>1100</v>
      </c>
    </row>
    <row r="1392" spans="1:5" ht="15">
      <c r="A1392" s="223" t="s">
        <v>236</v>
      </c>
      <c r="B1392" s="223">
        <v>21</v>
      </c>
      <c r="C1392" s="223">
        <v>33</v>
      </c>
      <c r="D1392" s="223">
        <v>5</v>
      </c>
      <c r="E1392" s="223">
        <v>4200</v>
      </c>
    </row>
    <row r="1393" spans="1:5" ht="15">
      <c r="A1393" s="223" t="s">
        <v>236</v>
      </c>
      <c r="B1393" s="223">
        <v>21</v>
      </c>
      <c r="C1393" s="223">
        <v>33</v>
      </c>
      <c r="D1393" s="223">
        <v>7</v>
      </c>
      <c r="E1393" s="223">
        <v>12200</v>
      </c>
    </row>
    <row r="1394" spans="1:5" ht="15">
      <c r="A1394" s="223" t="s">
        <v>236</v>
      </c>
      <c r="B1394" s="223">
        <v>21</v>
      </c>
      <c r="C1394" s="223">
        <v>34</v>
      </c>
      <c r="D1394" s="223">
        <v>2</v>
      </c>
      <c r="E1394" s="223">
        <v>5990</v>
      </c>
    </row>
    <row r="1395" spans="1:5" ht="15">
      <c r="A1395" s="223" t="s">
        <v>236</v>
      </c>
      <c r="B1395" s="223">
        <v>21</v>
      </c>
      <c r="C1395" s="223">
        <v>34</v>
      </c>
      <c r="D1395" s="223">
        <v>4</v>
      </c>
      <c r="E1395" s="223">
        <v>1374</v>
      </c>
    </row>
    <row r="1396" spans="1:5" ht="15">
      <c r="A1396" s="223" t="s">
        <v>236</v>
      </c>
      <c r="B1396" s="223">
        <v>24</v>
      </c>
      <c r="C1396" s="223">
        <v>26</v>
      </c>
      <c r="D1396" s="223">
        <v>5</v>
      </c>
      <c r="E1396" s="223">
        <v>15000</v>
      </c>
    </row>
    <row r="1397" spans="1:5" ht="15">
      <c r="A1397" s="223" t="s">
        <v>236</v>
      </c>
      <c r="B1397" s="223">
        <v>24</v>
      </c>
      <c r="C1397" s="223">
        <v>26</v>
      </c>
      <c r="D1397" s="223">
        <v>7</v>
      </c>
      <c r="E1397" s="223">
        <v>25000</v>
      </c>
    </row>
    <row r="1398" spans="1:5" ht="15">
      <c r="A1398" s="223" t="s">
        <v>236</v>
      </c>
      <c r="B1398" s="223">
        <v>24</v>
      </c>
      <c r="C1398" s="223">
        <v>27</v>
      </c>
      <c r="D1398" s="223">
        <v>5</v>
      </c>
      <c r="E1398" s="223">
        <v>31938</v>
      </c>
    </row>
    <row r="1399" spans="1:5" ht="15">
      <c r="A1399" s="223" t="s">
        <v>236</v>
      </c>
      <c r="B1399" s="223">
        <v>24</v>
      </c>
      <c r="C1399" s="223">
        <v>27</v>
      </c>
      <c r="D1399" s="223">
        <v>7</v>
      </c>
      <c r="E1399" s="223">
        <v>310000</v>
      </c>
    </row>
    <row r="1400" spans="1:5" ht="15">
      <c r="A1400" s="223" t="s">
        <v>236</v>
      </c>
      <c r="B1400" s="223">
        <v>24</v>
      </c>
      <c r="C1400" s="223">
        <v>31</v>
      </c>
      <c r="D1400" s="223">
        <v>7</v>
      </c>
      <c r="E1400" s="223">
        <v>3000</v>
      </c>
    </row>
    <row r="1401" spans="1:5" ht="15">
      <c r="A1401" s="223" t="s">
        <v>236</v>
      </c>
      <c r="B1401" s="223">
        <v>24</v>
      </c>
      <c r="C1401" s="223">
        <v>33</v>
      </c>
      <c r="D1401" s="223">
        <v>5</v>
      </c>
      <c r="E1401" s="223">
        <v>1234</v>
      </c>
    </row>
    <row r="1402" spans="1:5" ht="15">
      <c r="A1402" s="223" t="s">
        <v>238</v>
      </c>
      <c r="B1402" s="223">
        <v>21</v>
      </c>
      <c r="C1402" s="223">
        <v>21</v>
      </c>
      <c r="D1402" s="223">
        <v>0</v>
      </c>
      <c r="E1402" s="223">
        <v>2680</v>
      </c>
    </row>
    <row r="1403" spans="1:5" ht="15">
      <c r="A1403" s="223" t="s">
        <v>238</v>
      </c>
      <c r="B1403" s="223">
        <v>21</v>
      </c>
      <c r="C1403" s="223">
        <v>21</v>
      </c>
      <c r="D1403" s="223">
        <v>2</v>
      </c>
      <c r="E1403" s="223">
        <v>1483337</v>
      </c>
    </row>
    <row r="1404" spans="1:5" ht="15">
      <c r="A1404" s="223" t="s">
        <v>238</v>
      </c>
      <c r="B1404" s="223">
        <v>21</v>
      </c>
      <c r="C1404" s="223">
        <v>21</v>
      </c>
      <c r="D1404" s="223">
        <v>3</v>
      </c>
      <c r="E1404" s="223">
        <v>667819</v>
      </c>
    </row>
    <row r="1405" spans="1:5" ht="15">
      <c r="A1405" s="223" t="s">
        <v>238</v>
      </c>
      <c r="B1405" s="223">
        <v>21</v>
      </c>
      <c r="C1405" s="223">
        <v>21</v>
      </c>
      <c r="D1405" s="223">
        <v>4</v>
      </c>
      <c r="E1405" s="223">
        <v>696674</v>
      </c>
    </row>
    <row r="1406" spans="1:5" ht="15">
      <c r="A1406" s="223" t="s">
        <v>238</v>
      </c>
      <c r="B1406" s="223">
        <v>21</v>
      </c>
      <c r="C1406" s="223">
        <v>21</v>
      </c>
      <c r="D1406" s="223">
        <v>5</v>
      </c>
      <c r="E1406" s="223">
        <v>31811</v>
      </c>
    </row>
    <row r="1407" spans="1:5" ht="15">
      <c r="A1407" s="223" t="s">
        <v>238</v>
      </c>
      <c r="B1407" s="223">
        <v>21</v>
      </c>
      <c r="C1407" s="223">
        <v>21</v>
      </c>
      <c r="D1407" s="223">
        <v>7</v>
      </c>
      <c r="E1407" s="223">
        <v>89739</v>
      </c>
    </row>
    <row r="1408" spans="1:5" ht="15">
      <c r="A1408" s="223" t="s">
        <v>238</v>
      </c>
      <c r="B1408" s="223">
        <v>21</v>
      </c>
      <c r="C1408" s="223">
        <v>21</v>
      </c>
      <c r="D1408" s="223">
        <v>8</v>
      </c>
      <c r="E1408" s="223">
        <v>4100</v>
      </c>
    </row>
    <row r="1409" spans="1:5" ht="15">
      <c r="A1409" s="223" t="s">
        <v>238</v>
      </c>
      <c r="B1409" s="223">
        <v>21</v>
      </c>
      <c r="C1409" s="223">
        <v>24</v>
      </c>
      <c r="D1409" s="223">
        <v>3</v>
      </c>
      <c r="E1409" s="223">
        <v>62559</v>
      </c>
    </row>
    <row r="1410" spans="1:5" ht="15">
      <c r="A1410" s="223" t="s">
        <v>238</v>
      </c>
      <c r="B1410" s="223">
        <v>21</v>
      </c>
      <c r="C1410" s="223">
        <v>24</v>
      </c>
      <c r="D1410" s="223">
        <v>4</v>
      </c>
      <c r="E1410" s="223">
        <v>25171</v>
      </c>
    </row>
    <row r="1411" spans="1:5" ht="15">
      <c r="A1411" s="223" t="s">
        <v>238</v>
      </c>
      <c r="B1411" s="223">
        <v>21</v>
      </c>
      <c r="C1411" s="223">
        <v>24</v>
      </c>
      <c r="D1411" s="223">
        <v>7</v>
      </c>
      <c r="E1411" s="223">
        <v>24430</v>
      </c>
    </row>
    <row r="1412" spans="1:5" ht="15">
      <c r="A1412" s="223" t="s">
        <v>238</v>
      </c>
      <c r="B1412" s="223">
        <v>21</v>
      </c>
      <c r="C1412" s="223">
        <v>25</v>
      </c>
      <c r="D1412" s="223">
        <v>2</v>
      </c>
      <c r="E1412" s="223">
        <v>10019</v>
      </c>
    </row>
    <row r="1413" spans="1:5" ht="15">
      <c r="A1413" s="223" t="s">
        <v>238</v>
      </c>
      <c r="B1413" s="223">
        <v>21</v>
      </c>
      <c r="C1413" s="223">
        <v>25</v>
      </c>
      <c r="D1413" s="223">
        <v>3</v>
      </c>
      <c r="E1413" s="223">
        <v>162867</v>
      </c>
    </row>
    <row r="1414" spans="1:5" ht="15">
      <c r="A1414" s="223" t="s">
        <v>238</v>
      </c>
      <c r="B1414" s="223">
        <v>21</v>
      </c>
      <c r="C1414" s="223">
        <v>25</v>
      </c>
      <c r="D1414" s="223">
        <v>4</v>
      </c>
      <c r="E1414" s="223">
        <v>71770</v>
      </c>
    </row>
    <row r="1415" spans="1:5" ht="15">
      <c r="A1415" s="223" t="s">
        <v>238</v>
      </c>
      <c r="B1415" s="223">
        <v>21</v>
      </c>
      <c r="C1415" s="223">
        <v>25</v>
      </c>
      <c r="D1415" s="223">
        <v>7</v>
      </c>
      <c r="E1415" s="223">
        <v>628</v>
      </c>
    </row>
    <row r="1416" spans="1:5" ht="15">
      <c r="A1416" s="223" t="s">
        <v>238</v>
      </c>
      <c r="B1416" s="223">
        <v>21</v>
      </c>
      <c r="C1416" s="223">
        <v>26</v>
      </c>
      <c r="D1416" s="223">
        <v>0</v>
      </c>
      <c r="E1416" s="223">
        <v>1900</v>
      </c>
    </row>
    <row r="1417" spans="1:5" ht="15">
      <c r="A1417" s="223" t="s">
        <v>238</v>
      </c>
      <c r="B1417" s="223">
        <v>21</v>
      </c>
      <c r="C1417" s="223">
        <v>26</v>
      </c>
      <c r="D1417" s="223">
        <v>2</v>
      </c>
      <c r="E1417" s="223">
        <v>10008466</v>
      </c>
    </row>
    <row r="1418" spans="1:5" ht="15">
      <c r="A1418" s="223" t="s">
        <v>238</v>
      </c>
      <c r="B1418" s="223">
        <v>21</v>
      </c>
      <c r="C1418" s="223">
        <v>26</v>
      </c>
      <c r="D1418" s="223">
        <v>3</v>
      </c>
      <c r="E1418" s="223">
        <v>322255</v>
      </c>
    </row>
    <row r="1419" spans="1:5" ht="15">
      <c r="A1419" s="223" t="s">
        <v>238</v>
      </c>
      <c r="B1419" s="223">
        <v>21</v>
      </c>
      <c r="C1419" s="223">
        <v>26</v>
      </c>
      <c r="D1419" s="223">
        <v>4</v>
      </c>
      <c r="E1419" s="223">
        <v>3787401</v>
      </c>
    </row>
    <row r="1420" spans="1:5" ht="15">
      <c r="A1420" s="223" t="s">
        <v>238</v>
      </c>
      <c r="B1420" s="223">
        <v>21</v>
      </c>
      <c r="C1420" s="223">
        <v>26</v>
      </c>
      <c r="D1420" s="223">
        <v>5</v>
      </c>
      <c r="E1420" s="223">
        <v>45327</v>
      </c>
    </row>
    <row r="1421" spans="1:5" ht="15">
      <c r="A1421" s="223" t="s">
        <v>238</v>
      </c>
      <c r="B1421" s="223">
        <v>21</v>
      </c>
      <c r="C1421" s="223">
        <v>26</v>
      </c>
      <c r="D1421" s="223">
        <v>7</v>
      </c>
      <c r="E1421" s="223">
        <v>195355</v>
      </c>
    </row>
    <row r="1422" spans="1:5" ht="15">
      <c r="A1422" s="223" t="s">
        <v>238</v>
      </c>
      <c r="B1422" s="223">
        <v>21</v>
      </c>
      <c r="C1422" s="223">
        <v>26</v>
      </c>
      <c r="D1422" s="223">
        <v>8</v>
      </c>
      <c r="E1422" s="223">
        <v>4300</v>
      </c>
    </row>
    <row r="1423" spans="1:5" ht="15">
      <c r="A1423" s="223" t="s">
        <v>238</v>
      </c>
      <c r="B1423" s="223">
        <v>21</v>
      </c>
      <c r="C1423" s="223">
        <v>26</v>
      </c>
      <c r="D1423" s="223">
        <v>9</v>
      </c>
      <c r="E1423" s="223">
        <v>10000</v>
      </c>
    </row>
    <row r="1424" spans="1:5" ht="15">
      <c r="A1424" s="223" t="s">
        <v>238</v>
      </c>
      <c r="B1424" s="223">
        <v>21</v>
      </c>
      <c r="C1424" s="223">
        <v>27</v>
      </c>
      <c r="D1424" s="223">
        <v>0</v>
      </c>
      <c r="E1424" s="223">
        <v>45420</v>
      </c>
    </row>
    <row r="1425" spans="1:5" ht="15">
      <c r="A1425" s="223" t="s">
        <v>238</v>
      </c>
      <c r="B1425" s="223">
        <v>21</v>
      </c>
      <c r="C1425" s="223">
        <v>27</v>
      </c>
      <c r="D1425" s="223">
        <v>2</v>
      </c>
      <c r="E1425" s="223">
        <v>15271352</v>
      </c>
    </row>
    <row r="1426" spans="1:5" ht="15">
      <c r="A1426" s="223" t="s">
        <v>238</v>
      </c>
      <c r="B1426" s="223">
        <v>21</v>
      </c>
      <c r="C1426" s="223">
        <v>27</v>
      </c>
      <c r="D1426" s="223">
        <v>3</v>
      </c>
      <c r="E1426" s="223">
        <v>11802200</v>
      </c>
    </row>
    <row r="1427" spans="1:5" ht="15">
      <c r="A1427" s="223" t="s">
        <v>238</v>
      </c>
      <c r="B1427" s="223">
        <v>21</v>
      </c>
      <c r="C1427" s="223">
        <v>27</v>
      </c>
      <c r="D1427" s="223">
        <v>4</v>
      </c>
      <c r="E1427" s="223">
        <v>11630111</v>
      </c>
    </row>
    <row r="1428" spans="1:5" ht="15">
      <c r="A1428" s="223" t="s">
        <v>238</v>
      </c>
      <c r="B1428" s="223">
        <v>21</v>
      </c>
      <c r="C1428" s="223">
        <v>27</v>
      </c>
      <c r="D1428" s="223">
        <v>5</v>
      </c>
      <c r="E1428" s="223">
        <v>174250</v>
      </c>
    </row>
    <row r="1429" spans="1:5" ht="15">
      <c r="A1429" s="223" t="s">
        <v>238</v>
      </c>
      <c r="B1429" s="223">
        <v>21</v>
      </c>
      <c r="C1429" s="223">
        <v>27</v>
      </c>
      <c r="D1429" s="223">
        <v>7</v>
      </c>
      <c r="E1429" s="223">
        <v>1525462</v>
      </c>
    </row>
    <row r="1430" spans="1:5" ht="15">
      <c r="A1430" s="223" t="s">
        <v>238</v>
      </c>
      <c r="B1430" s="223">
        <v>21</v>
      </c>
      <c r="C1430" s="223">
        <v>27</v>
      </c>
      <c r="D1430" s="223">
        <v>8</v>
      </c>
      <c r="E1430" s="223">
        <v>14300</v>
      </c>
    </row>
    <row r="1431" spans="1:5" ht="15">
      <c r="A1431" s="223" t="s">
        <v>238</v>
      </c>
      <c r="B1431" s="223">
        <v>21</v>
      </c>
      <c r="C1431" s="223">
        <v>31</v>
      </c>
      <c r="D1431" s="223">
        <v>2</v>
      </c>
      <c r="E1431" s="223">
        <v>407361</v>
      </c>
    </row>
    <row r="1432" spans="1:5" ht="15">
      <c r="A1432" s="223" t="s">
        <v>238</v>
      </c>
      <c r="B1432" s="223">
        <v>21</v>
      </c>
      <c r="C1432" s="223">
        <v>31</v>
      </c>
      <c r="D1432" s="223">
        <v>3</v>
      </c>
      <c r="E1432" s="223">
        <v>27484</v>
      </c>
    </row>
    <row r="1433" spans="1:5" ht="15">
      <c r="A1433" s="223" t="s">
        <v>238</v>
      </c>
      <c r="B1433" s="223">
        <v>21</v>
      </c>
      <c r="C1433" s="223">
        <v>31</v>
      </c>
      <c r="D1433" s="223">
        <v>4</v>
      </c>
      <c r="E1433" s="223">
        <v>147419</v>
      </c>
    </row>
    <row r="1434" spans="1:5" ht="15">
      <c r="A1434" s="223" t="s">
        <v>238</v>
      </c>
      <c r="B1434" s="223">
        <v>21</v>
      </c>
      <c r="C1434" s="223">
        <v>31</v>
      </c>
      <c r="D1434" s="223">
        <v>5</v>
      </c>
      <c r="E1434" s="223">
        <v>8000</v>
      </c>
    </row>
    <row r="1435" spans="1:5" ht="15">
      <c r="A1435" s="223" t="s">
        <v>238</v>
      </c>
      <c r="B1435" s="223">
        <v>21</v>
      </c>
      <c r="C1435" s="223">
        <v>31</v>
      </c>
      <c r="D1435" s="223">
        <v>7</v>
      </c>
      <c r="E1435" s="223">
        <v>15534</v>
      </c>
    </row>
    <row r="1436" spans="1:5" ht="15">
      <c r="A1436" s="223" t="s">
        <v>238</v>
      </c>
      <c r="B1436" s="223">
        <v>21</v>
      </c>
      <c r="C1436" s="223">
        <v>31</v>
      </c>
      <c r="D1436" s="223">
        <v>8</v>
      </c>
      <c r="E1436" s="223">
        <v>2300</v>
      </c>
    </row>
    <row r="1437" spans="1:5" ht="15">
      <c r="A1437" s="223" t="s">
        <v>238</v>
      </c>
      <c r="B1437" s="223">
        <v>21</v>
      </c>
      <c r="C1437" s="223">
        <v>32</v>
      </c>
      <c r="D1437" s="223">
        <v>5</v>
      </c>
      <c r="E1437" s="223">
        <v>25000</v>
      </c>
    </row>
    <row r="1438" spans="1:5" ht="15">
      <c r="A1438" s="223" t="s">
        <v>238</v>
      </c>
      <c r="B1438" s="223">
        <v>21</v>
      </c>
      <c r="C1438" s="223">
        <v>33</v>
      </c>
      <c r="D1438" s="223">
        <v>5</v>
      </c>
      <c r="E1438" s="223">
        <v>15612</v>
      </c>
    </row>
    <row r="1439" spans="1:5" ht="15">
      <c r="A1439" s="223" t="s">
        <v>238</v>
      </c>
      <c r="B1439" s="223">
        <v>21</v>
      </c>
      <c r="C1439" s="223">
        <v>33</v>
      </c>
      <c r="D1439" s="223">
        <v>7</v>
      </c>
      <c r="E1439" s="223">
        <v>6346</v>
      </c>
    </row>
    <row r="1440" spans="1:5" ht="15">
      <c r="A1440" s="223" t="s">
        <v>238</v>
      </c>
      <c r="B1440" s="223">
        <v>21</v>
      </c>
      <c r="C1440" s="223">
        <v>34</v>
      </c>
      <c r="D1440" s="223">
        <v>2</v>
      </c>
      <c r="E1440" s="223">
        <v>234025</v>
      </c>
    </row>
    <row r="1441" spans="1:5" ht="15">
      <c r="A1441" s="223" t="s">
        <v>238</v>
      </c>
      <c r="B1441" s="223">
        <v>21</v>
      </c>
      <c r="C1441" s="223">
        <v>34</v>
      </c>
      <c r="D1441" s="223">
        <v>4</v>
      </c>
      <c r="E1441" s="223">
        <v>54106</v>
      </c>
    </row>
    <row r="1442" spans="1:5" ht="15">
      <c r="A1442" s="223" t="s">
        <v>238</v>
      </c>
      <c r="B1442" s="223">
        <v>24</v>
      </c>
      <c r="C1442" s="223">
        <v>21</v>
      </c>
      <c r="D1442" s="223">
        <v>3</v>
      </c>
      <c r="E1442" s="223">
        <v>183429</v>
      </c>
    </row>
    <row r="1443" spans="1:5" ht="15">
      <c r="A1443" s="223" t="s">
        <v>238</v>
      </c>
      <c r="B1443" s="223">
        <v>24</v>
      </c>
      <c r="C1443" s="223">
        <v>21</v>
      </c>
      <c r="D1443" s="223">
        <v>4</v>
      </c>
      <c r="E1443" s="223">
        <v>76711</v>
      </c>
    </row>
    <row r="1444" spans="1:5" ht="15">
      <c r="A1444" s="223" t="s">
        <v>238</v>
      </c>
      <c r="B1444" s="223">
        <v>24</v>
      </c>
      <c r="C1444" s="223">
        <v>25</v>
      </c>
      <c r="D1444" s="223">
        <v>3</v>
      </c>
      <c r="E1444" s="223">
        <v>56360</v>
      </c>
    </row>
    <row r="1445" spans="1:5" ht="15">
      <c r="A1445" s="223" t="s">
        <v>238</v>
      </c>
      <c r="B1445" s="223">
        <v>24</v>
      </c>
      <c r="C1445" s="223">
        <v>25</v>
      </c>
      <c r="D1445" s="223">
        <v>4</v>
      </c>
      <c r="E1445" s="223">
        <v>33533</v>
      </c>
    </row>
    <row r="1446" spans="1:5" ht="15">
      <c r="A1446" s="223" t="s">
        <v>238</v>
      </c>
      <c r="B1446" s="223">
        <v>24</v>
      </c>
      <c r="C1446" s="223">
        <v>27</v>
      </c>
      <c r="D1446" s="223">
        <v>2</v>
      </c>
      <c r="E1446" s="223">
        <v>1432448</v>
      </c>
    </row>
    <row r="1447" spans="1:5" ht="15">
      <c r="A1447" s="223" t="s">
        <v>238</v>
      </c>
      <c r="B1447" s="223">
        <v>24</v>
      </c>
      <c r="C1447" s="223">
        <v>27</v>
      </c>
      <c r="D1447" s="223">
        <v>3</v>
      </c>
      <c r="E1447" s="223">
        <v>1141940</v>
      </c>
    </row>
    <row r="1448" spans="1:5" ht="15">
      <c r="A1448" s="223" t="s">
        <v>238</v>
      </c>
      <c r="B1448" s="223">
        <v>24</v>
      </c>
      <c r="C1448" s="223">
        <v>27</v>
      </c>
      <c r="D1448" s="223">
        <v>4</v>
      </c>
      <c r="E1448" s="223">
        <v>1169525</v>
      </c>
    </row>
    <row r="1449" spans="1:5" ht="15">
      <c r="A1449" s="223" t="s">
        <v>240</v>
      </c>
      <c r="B1449" s="223">
        <v>21</v>
      </c>
      <c r="C1449" s="223">
        <v>21</v>
      </c>
      <c r="D1449" s="223">
        <v>0</v>
      </c>
      <c r="E1449" s="223">
        <v>50</v>
      </c>
    </row>
    <row r="1450" spans="1:5" ht="15">
      <c r="A1450" s="223" t="s">
        <v>240</v>
      </c>
      <c r="B1450" s="223">
        <v>21</v>
      </c>
      <c r="C1450" s="223">
        <v>21</v>
      </c>
      <c r="D1450" s="223">
        <v>2</v>
      </c>
      <c r="E1450" s="223">
        <v>140741</v>
      </c>
    </row>
    <row r="1451" spans="1:5" ht="15">
      <c r="A1451" s="223" t="s">
        <v>240</v>
      </c>
      <c r="B1451" s="223">
        <v>21</v>
      </c>
      <c r="C1451" s="223">
        <v>21</v>
      </c>
      <c r="D1451" s="223">
        <v>3</v>
      </c>
      <c r="E1451" s="223">
        <v>87061</v>
      </c>
    </row>
    <row r="1452" spans="1:5" ht="15">
      <c r="A1452" s="223" t="s">
        <v>240</v>
      </c>
      <c r="B1452" s="223">
        <v>21</v>
      </c>
      <c r="C1452" s="223">
        <v>21</v>
      </c>
      <c r="D1452" s="223">
        <v>4</v>
      </c>
      <c r="E1452" s="223">
        <v>87882</v>
      </c>
    </row>
    <row r="1453" spans="1:5" ht="15">
      <c r="A1453" s="223" t="s">
        <v>240</v>
      </c>
      <c r="B1453" s="223">
        <v>21</v>
      </c>
      <c r="C1453" s="223">
        <v>21</v>
      </c>
      <c r="D1453" s="223">
        <v>5</v>
      </c>
      <c r="E1453" s="223">
        <v>1600</v>
      </c>
    </row>
    <row r="1454" spans="1:5" ht="15">
      <c r="A1454" s="223" t="s">
        <v>240</v>
      </c>
      <c r="B1454" s="223">
        <v>21</v>
      </c>
      <c r="C1454" s="223">
        <v>21</v>
      </c>
      <c r="D1454" s="223">
        <v>7</v>
      </c>
      <c r="E1454" s="223">
        <v>6500</v>
      </c>
    </row>
    <row r="1455" spans="1:5" ht="15">
      <c r="A1455" s="223" t="s">
        <v>240</v>
      </c>
      <c r="B1455" s="223">
        <v>21</v>
      </c>
      <c r="C1455" s="223">
        <v>21</v>
      </c>
      <c r="D1455" s="223">
        <v>8</v>
      </c>
      <c r="E1455" s="223">
        <v>2000</v>
      </c>
    </row>
    <row r="1456" spans="1:5" ht="15">
      <c r="A1456" s="223" t="s">
        <v>240</v>
      </c>
      <c r="B1456" s="223">
        <v>21</v>
      </c>
      <c r="C1456" s="223">
        <v>26</v>
      </c>
      <c r="D1456" s="223">
        <v>2</v>
      </c>
      <c r="E1456" s="223">
        <v>708183</v>
      </c>
    </row>
    <row r="1457" spans="1:5" ht="15">
      <c r="A1457" s="223" t="s">
        <v>240</v>
      </c>
      <c r="B1457" s="223">
        <v>21</v>
      </c>
      <c r="C1457" s="223">
        <v>26</v>
      </c>
      <c r="D1457" s="223">
        <v>4</v>
      </c>
      <c r="E1457" s="223">
        <v>264776</v>
      </c>
    </row>
    <row r="1458" spans="1:5" ht="15">
      <c r="A1458" s="223" t="s">
        <v>240</v>
      </c>
      <c r="B1458" s="223">
        <v>21</v>
      </c>
      <c r="C1458" s="223">
        <v>26</v>
      </c>
      <c r="D1458" s="223">
        <v>5</v>
      </c>
      <c r="E1458" s="223">
        <v>17000</v>
      </c>
    </row>
    <row r="1459" spans="1:5" ht="15">
      <c r="A1459" s="223" t="s">
        <v>240</v>
      </c>
      <c r="B1459" s="223">
        <v>21</v>
      </c>
      <c r="C1459" s="223">
        <v>26</v>
      </c>
      <c r="D1459" s="223">
        <v>7</v>
      </c>
      <c r="E1459" s="223">
        <v>95000</v>
      </c>
    </row>
    <row r="1460" spans="1:5" ht="15">
      <c r="A1460" s="223" t="s">
        <v>240</v>
      </c>
      <c r="B1460" s="223">
        <v>21</v>
      </c>
      <c r="C1460" s="223">
        <v>26</v>
      </c>
      <c r="D1460" s="223">
        <v>8</v>
      </c>
      <c r="E1460" s="223">
        <v>2000</v>
      </c>
    </row>
    <row r="1461" spans="1:5" ht="15">
      <c r="A1461" s="223" t="s">
        <v>240</v>
      </c>
      <c r="B1461" s="223">
        <v>21</v>
      </c>
      <c r="C1461" s="223">
        <v>27</v>
      </c>
      <c r="D1461" s="223">
        <v>0</v>
      </c>
      <c r="E1461" s="223">
        <v>1041</v>
      </c>
    </row>
    <row r="1462" spans="1:5" ht="15">
      <c r="A1462" s="223" t="s">
        <v>240</v>
      </c>
      <c r="B1462" s="223">
        <v>21</v>
      </c>
      <c r="C1462" s="223">
        <v>27</v>
      </c>
      <c r="D1462" s="223">
        <v>2</v>
      </c>
      <c r="E1462" s="223">
        <v>1226285</v>
      </c>
    </row>
    <row r="1463" spans="1:5" ht="15">
      <c r="A1463" s="223" t="s">
        <v>240</v>
      </c>
      <c r="B1463" s="223">
        <v>21</v>
      </c>
      <c r="C1463" s="223">
        <v>27</v>
      </c>
      <c r="D1463" s="223">
        <v>3</v>
      </c>
      <c r="E1463" s="223">
        <v>1087000</v>
      </c>
    </row>
    <row r="1464" spans="1:5" ht="15">
      <c r="A1464" s="223" t="s">
        <v>240</v>
      </c>
      <c r="B1464" s="223">
        <v>21</v>
      </c>
      <c r="C1464" s="223">
        <v>27</v>
      </c>
      <c r="D1464" s="223">
        <v>4</v>
      </c>
      <c r="E1464" s="223">
        <v>1146763</v>
      </c>
    </row>
    <row r="1465" spans="1:5" ht="15">
      <c r="A1465" s="223" t="s">
        <v>240</v>
      </c>
      <c r="B1465" s="223">
        <v>21</v>
      </c>
      <c r="C1465" s="223">
        <v>27</v>
      </c>
      <c r="D1465" s="223">
        <v>5</v>
      </c>
      <c r="E1465" s="223">
        <v>29700</v>
      </c>
    </row>
    <row r="1466" spans="1:5" ht="15">
      <c r="A1466" s="223" t="s">
        <v>240</v>
      </c>
      <c r="B1466" s="223">
        <v>21</v>
      </c>
      <c r="C1466" s="223">
        <v>27</v>
      </c>
      <c r="D1466" s="223">
        <v>7</v>
      </c>
      <c r="E1466" s="223">
        <v>488350</v>
      </c>
    </row>
    <row r="1467" spans="1:5" ht="15">
      <c r="A1467" s="223" t="s">
        <v>240</v>
      </c>
      <c r="B1467" s="223">
        <v>21</v>
      </c>
      <c r="C1467" s="223">
        <v>27</v>
      </c>
      <c r="D1467" s="223">
        <v>8</v>
      </c>
      <c r="E1467" s="223">
        <v>3700</v>
      </c>
    </row>
    <row r="1468" spans="1:5" ht="15">
      <c r="A1468" s="223" t="s">
        <v>240</v>
      </c>
      <c r="B1468" s="223">
        <v>21</v>
      </c>
      <c r="C1468" s="223">
        <v>31</v>
      </c>
      <c r="D1468" s="223">
        <v>8</v>
      </c>
      <c r="E1468" s="223">
        <v>2000</v>
      </c>
    </row>
    <row r="1469" spans="1:5" ht="15">
      <c r="A1469" s="223" t="s">
        <v>240</v>
      </c>
      <c r="B1469" s="223">
        <v>21</v>
      </c>
      <c r="C1469" s="223">
        <v>32</v>
      </c>
      <c r="D1469" s="223">
        <v>5</v>
      </c>
      <c r="E1469" s="223">
        <v>2000</v>
      </c>
    </row>
    <row r="1470" spans="1:5" ht="15">
      <c r="A1470" s="223" t="s">
        <v>240</v>
      </c>
      <c r="B1470" s="223">
        <v>21</v>
      </c>
      <c r="C1470" s="223">
        <v>33</v>
      </c>
      <c r="D1470" s="223">
        <v>5</v>
      </c>
      <c r="E1470" s="223">
        <v>1500</v>
      </c>
    </row>
    <row r="1471" spans="1:5" ht="15">
      <c r="A1471" s="223" t="s">
        <v>240</v>
      </c>
      <c r="B1471" s="223">
        <v>24</v>
      </c>
      <c r="C1471" s="223">
        <v>26</v>
      </c>
      <c r="D1471" s="223">
        <v>5</v>
      </c>
      <c r="E1471" s="223">
        <v>16145</v>
      </c>
    </row>
    <row r="1472" spans="1:5" ht="15">
      <c r="A1472" s="223" t="s">
        <v>240</v>
      </c>
      <c r="B1472" s="223">
        <v>24</v>
      </c>
      <c r="C1472" s="223">
        <v>27</v>
      </c>
      <c r="D1472" s="223">
        <v>2</v>
      </c>
      <c r="E1472" s="223">
        <v>392437</v>
      </c>
    </row>
    <row r="1473" spans="1:5" ht="15">
      <c r="A1473" s="223" t="s">
        <v>240</v>
      </c>
      <c r="B1473" s="223">
        <v>24</v>
      </c>
      <c r="C1473" s="223">
        <v>27</v>
      </c>
      <c r="D1473" s="223">
        <v>3</v>
      </c>
      <c r="E1473" s="223">
        <v>91464</v>
      </c>
    </row>
    <row r="1474" spans="1:5" ht="15">
      <c r="A1474" s="223" t="s">
        <v>240</v>
      </c>
      <c r="B1474" s="223">
        <v>24</v>
      </c>
      <c r="C1474" s="223">
        <v>27</v>
      </c>
      <c r="D1474" s="223">
        <v>4</v>
      </c>
      <c r="E1474" s="223">
        <v>229754</v>
      </c>
    </row>
    <row r="1475" spans="1:5" ht="15">
      <c r="A1475" s="223" t="s">
        <v>240</v>
      </c>
      <c r="B1475" s="223">
        <v>24</v>
      </c>
      <c r="C1475" s="223">
        <v>27</v>
      </c>
      <c r="D1475" s="223">
        <v>5</v>
      </c>
      <c r="E1475" s="223">
        <v>7000</v>
      </c>
    </row>
    <row r="1476" spans="1:5" ht="15">
      <c r="A1476" s="223" t="s">
        <v>409</v>
      </c>
      <c r="B1476" s="223">
        <v>21</v>
      </c>
      <c r="C1476" s="223">
        <v>21</v>
      </c>
      <c r="D1476" s="223">
        <v>2</v>
      </c>
      <c r="E1476" s="223">
        <v>117771</v>
      </c>
    </row>
    <row r="1477" spans="1:5" ht="15">
      <c r="A1477" s="223" t="s">
        <v>409</v>
      </c>
      <c r="B1477" s="223">
        <v>21</v>
      </c>
      <c r="C1477" s="223">
        <v>21</v>
      </c>
      <c r="D1477" s="223">
        <v>3</v>
      </c>
      <c r="E1477" s="223">
        <v>51846</v>
      </c>
    </row>
    <row r="1478" spans="1:5" ht="15">
      <c r="A1478" s="223" t="s">
        <v>409</v>
      </c>
      <c r="B1478" s="223">
        <v>21</v>
      </c>
      <c r="C1478" s="223">
        <v>21</v>
      </c>
      <c r="D1478" s="223">
        <v>4</v>
      </c>
      <c r="E1478" s="223">
        <v>60572</v>
      </c>
    </row>
    <row r="1479" spans="1:5" ht="15">
      <c r="A1479" s="223" t="s">
        <v>409</v>
      </c>
      <c r="B1479" s="223">
        <v>21</v>
      </c>
      <c r="C1479" s="223">
        <v>21</v>
      </c>
      <c r="D1479" s="223">
        <v>5</v>
      </c>
      <c r="E1479" s="223">
        <v>3153</v>
      </c>
    </row>
    <row r="1480" spans="1:5" ht="15">
      <c r="A1480" s="223" t="s">
        <v>409</v>
      </c>
      <c r="B1480" s="223">
        <v>21</v>
      </c>
      <c r="C1480" s="223">
        <v>26</v>
      </c>
      <c r="D1480" s="223">
        <v>2</v>
      </c>
      <c r="E1480" s="223">
        <v>361874</v>
      </c>
    </row>
    <row r="1481" spans="1:5" ht="15">
      <c r="A1481" s="223" t="s">
        <v>409</v>
      </c>
      <c r="B1481" s="223">
        <v>21</v>
      </c>
      <c r="C1481" s="223">
        <v>26</v>
      </c>
      <c r="D1481" s="223">
        <v>4</v>
      </c>
      <c r="E1481" s="223">
        <v>145249</v>
      </c>
    </row>
    <row r="1482" spans="1:5" ht="15">
      <c r="A1482" s="223" t="s">
        <v>409</v>
      </c>
      <c r="B1482" s="223">
        <v>21</v>
      </c>
      <c r="C1482" s="223">
        <v>26</v>
      </c>
      <c r="D1482" s="223">
        <v>5</v>
      </c>
      <c r="E1482" s="223">
        <v>4150</v>
      </c>
    </row>
    <row r="1483" spans="1:5" ht="15">
      <c r="A1483" s="223" t="s">
        <v>409</v>
      </c>
      <c r="B1483" s="223">
        <v>21</v>
      </c>
      <c r="C1483" s="223">
        <v>26</v>
      </c>
      <c r="D1483" s="223">
        <v>7</v>
      </c>
      <c r="E1483" s="223">
        <v>600</v>
      </c>
    </row>
    <row r="1484" spans="1:5" ht="15">
      <c r="A1484" s="223" t="s">
        <v>409</v>
      </c>
      <c r="B1484" s="223">
        <v>21</v>
      </c>
      <c r="C1484" s="223">
        <v>26</v>
      </c>
      <c r="D1484" s="223">
        <v>8</v>
      </c>
      <c r="E1484" s="223">
        <v>100</v>
      </c>
    </row>
    <row r="1485" spans="1:5" ht="15">
      <c r="A1485" s="223" t="s">
        <v>409</v>
      </c>
      <c r="B1485" s="223">
        <v>21</v>
      </c>
      <c r="C1485" s="223">
        <v>27</v>
      </c>
      <c r="D1485" s="223">
        <v>0</v>
      </c>
      <c r="E1485" s="223">
        <v>1250</v>
      </c>
    </row>
    <row r="1486" spans="1:5" ht="15">
      <c r="A1486" s="223" t="s">
        <v>409</v>
      </c>
      <c r="B1486" s="223">
        <v>21</v>
      </c>
      <c r="C1486" s="223">
        <v>27</v>
      </c>
      <c r="D1486" s="223">
        <v>2</v>
      </c>
      <c r="E1486" s="223">
        <v>809259</v>
      </c>
    </row>
    <row r="1487" spans="1:5" ht="15">
      <c r="A1487" s="223" t="s">
        <v>409</v>
      </c>
      <c r="B1487" s="223">
        <v>21</v>
      </c>
      <c r="C1487" s="223">
        <v>27</v>
      </c>
      <c r="D1487" s="223">
        <v>3</v>
      </c>
      <c r="E1487" s="223">
        <v>357839</v>
      </c>
    </row>
    <row r="1488" spans="1:5" ht="15">
      <c r="A1488" s="223" t="s">
        <v>409</v>
      </c>
      <c r="B1488" s="223">
        <v>21</v>
      </c>
      <c r="C1488" s="223">
        <v>27</v>
      </c>
      <c r="D1488" s="223">
        <v>4</v>
      </c>
      <c r="E1488" s="223">
        <v>539545</v>
      </c>
    </row>
    <row r="1489" spans="1:5" ht="15">
      <c r="A1489" s="223" t="s">
        <v>409</v>
      </c>
      <c r="B1489" s="223">
        <v>21</v>
      </c>
      <c r="C1489" s="223">
        <v>27</v>
      </c>
      <c r="D1489" s="223">
        <v>5</v>
      </c>
      <c r="E1489" s="223">
        <v>163150</v>
      </c>
    </row>
    <row r="1490" spans="1:5" ht="15">
      <c r="A1490" s="223" t="s">
        <v>409</v>
      </c>
      <c r="B1490" s="223">
        <v>21</v>
      </c>
      <c r="C1490" s="223">
        <v>27</v>
      </c>
      <c r="D1490" s="223">
        <v>7</v>
      </c>
      <c r="E1490" s="223">
        <v>178227</v>
      </c>
    </row>
    <row r="1491" spans="1:5" ht="15">
      <c r="A1491" s="223" t="s">
        <v>409</v>
      </c>
      <c r="B1491" s="223">
        <v>21</v>
      </c>
      <c r="C1491" s="223">
        <v>27</v>
      </c>
      <c r="D1491" s="223">
        <v>8</v>
      </c>
      <c r="E1491" s="223">
        <v>1500</v>
      </c>
    </row>
    <row r="1492" spans="1:5" ht="15">
      <c r="A1492" s="223" t="s">
        <v>409</v>
      </c>
      <c r="B1492" s="223">
        <v>21</v>
      </c>
      <c r="C1492" s="223">
        <v>34</v>
      </c>
      <c r="D1492" s="223">
        <v>2</v>
      </c>
      <c r="E1492" s="223">
        <v>1119</v>
      </c>
    </row>
    <row r="1493" spans="1:5" ht="15">
      <c r="A1493" s="223" t="s">
        <v>409</v>
      </c>
      <c r="B1493" s="223">
        <v>21</v>
      </c>
      <c r="C1493" s="223">
        <v>34</v>
      </c>
      <c r="D1493" s="223">
        <v>4</v>
      </c>
      <c r="E1493" s="223">
        <v>261</v>
      </c>
    </row>
    <row r="1494" spans="1:5" ht="15">
      <c r="A1494" s="223" t="s">
        <v>409</v>
      </c>
      <c r="B1494" s="223">
        <v>24</v>
      </c>
      <c r="C1494" s="223">
        <v>27</v>
      </c>
      <c r="D1494" s="223">
        <v>2</v>
      </c>
      <c r="E1494" s="223">
        <v>13763</v>
      </c>
    </row>
    <row r="1495" spans="1:5" ht="15">
      <c r="A1495" s="223" t="s">
        <v>409</v>
      </c>
      <c r="B1495" s="223">
        <v>24</v>
      </c>
      <c r="C1495" s="223">
        <v>27</v>
      </c>
      <c r="D1495" s="223">
        <v>3</v>
      </c>
      <c r="E1495" s="223">
        <v>228405</v>
      </c>
    </row>
    <row r="1496" spans="1:5" ht="15">
      <c r="A1496" s="223" t="s">
        <v>409</v>
      </c>
      <c r="B1496" s="223">
        <v>24</v>
      </c>
      <c r="C1496" s="223">
        <v>27</v>
      </c>
      <c r="D1496" s="223">
        <v>4</v>
      </c>
      <c r="E1496" s="223">
        <v>155957</v>
      </c>
    </row>
    <row r="1497" spans="1:5" ht="15">
      <c r="A1497" s="223" t="s">
        <v>409</v>
      </c>
      <c r="B1497" s="223">
        <v>24</v>
      </c>
      <c r="C1497" s="223">
        <v>27</v>
      </c>
      <c r="D1497" s="223">
        <v>5</v>
      </c>
      <c r="E1497" s="223">
        <v>1242</v>
      </c>
    </row>
    <row r="1498" spans="1:5" ht="15">
      <c r="A1498" s="223" t="s">
        <v>411</v>
      </c>
      <c r="B1498" s="223">
        <v>21</v>
      </c>
      <c r="C1498" s="223">
        <v>27</v>
      </c>
      <c r="D1498" s="223">
        <v>2</v>
      </c>
      <c r="E1498" s="223">
        <v>85516</v>
      </c>
    </row>
    <row r="1499" spans="1:5" ht="15">
      <c r="A1499" s="223" t="s">
        <v>411</v>
      </c>
      <c r="B1499" s="223">
        <v>21</v>
      </c>
      <c r="C1499" s="223">
        <v>27</v>
      </c>
      <c r="D1499" s="223">
        <v>3</v>
      </c>
      <c r="E1499" s="223">
        <v>85320</v>
      </c>
    </row>
    <row r="1500" spans="1:5" ht="15">
      <c r="A1500" s="223" t="s">
        <v>411</v>
      </c>
      <c r="B1500" s="223">
        <v>21</v>
      </c>
      <c r="C1500" s="223">
        <v>27</v>
      </c>
      <c r="D1500" s="223">
        <v>4</v>
      </c>
      <c r="E1500" s="223">
        <v>89514</v>
      </c>
    </row>
    <row r="1501" spans="1:5" ht="15">
      <c r="A1501" s="223" t="s">
        <v>411</v>
      </c>
      <c r="B1501" s="223">
        <v>21</v>
      </c>
      <c r="C1501" s="223">
        <v>27</v>
      </c>
      <c r="D1501" s="223">
        <v>5</v>
      </c>
      <c r="E1501" s="223">
        <v>1000</v>
      </c>
    </row>
    <row r="1502" spans="1:5" ht="15">
      <c r="A1502" s="223" t="s">
        <v>411</v>
      </c>
      <c r="B1502" s="223">
        <v>21</v>
      </c>
      <c r="C1502" s="223">
        <v>27</v>
      </c>
      <c r="D1502" s="223">
        <v>7</v>
      </c>
      <c r="E1502" s="223">
        <v>10300</v>
      </c>
    </row>
    <row r="1503" spans="1:5" ht="15">
      <c r="A1503" s="223" t="s">
        <v>411</v>
      </c>
      <c r="B1503" s="223">
        <v>21</v>
      </c>
      <c r="C1503" s="223">
        <v>27</v>
      </c>
      <c r="D1503" s="223">
        <v>8</v>
      </c>
      <c r="E1503" s="223">
        <v>200</v>
      </c>
    </row>
    <row r="1504" spans="1:5" ht="15">
      <c r="A1504" s="223" t="s">
        <v>411</v>
      </c>
      <c r="B1504" s="223">
        <v>21</v>
      </c>
      <c r="C1504" s="223">
        <v>31</v>
      </c>
      <c r="D1504" s="223">
        <v>2</v>
      </c>
      <c r="E1504" s="223">
        <v>2650</v>
      </c>
    </row>
    <row r="1505" spans="1:5" ht="15">
      <c r="A1505" s="223" t="s">
        <v>411</v>
      </c>
      <c r="B1505" s="223">
        <v>21</v>
      </c>
      <c r="C1505" s="223">
        <v>31</v>
      </c>
      <c r="D1505" s="223">
        <v>4</v>
      </c>
      <c r="E1505" s="223">
        <v>623</v>
      </c>
    </row>
    <row r="1506" spans="1:5" ht="15">
      <c r="A1506" s="223" t="s">
        <v>411</v>
      </c>
      <c r="B1506" s="223">
        <v>24</v>
      </c>
      <c r="C1506" s="223">
        <v>27</v>
      </c>
      <c r="D1506" s="223">
        <v>7</v>
      </c>
      <c r="E1506" s="223">
        <v>30000</v>
      </c>
    </row>
    <row r="1507" spans="1:5" ht="15">
      <c r="A1507" s="223" t="s">
        <v>413</v>
      </c>
      <c r="B1507" s="223">
        <v>21</v>
      </c>
      <c r="C1507" s="223">
        <v>21</v>
      </c>
      <c r="D1507" s="223">
        <v>2</v>
      </c>
      <c r="E1507" s="223">
        <v>6911</v>
      </c>
    </row>
    <row r="1508" spans="1:5" ht="15">
      <c r="A1508" s="223" t="s">
        <v>413</v>
      </c>
      <c r="B1508" s="223">
        <v>21</v>
      </c>
      <c r="C1508" s="223">
        <v>21</v>
      </c>
      <c r="D1508" s="223">
        <v>4</v>
      </c>
      <c r="E1508" s="223">
        <v>1594</v>
      </c>
    </row>
    <row r="1509" spans="1:5" ht="15">
      <c r="A1509" s="223" t="s">
        <v>413</v>
      </c>
      <c r="B1509" s="223">
        <v>21</v>
      </c>
      <c r="C1509" s="223">
        <v>26</v>
      </c>
      <c r="D1509" s="223">
        <v>7</v>
      </c>
      <c r="E1509" s="223">
        <v>65724</v>
      </c>
    </row>
    <row r="1510" spans="1:5" ht="15">
      <c r="A1510" s="223" t="s">
        <v>413</v>
      </c>
      <c r="B1510" s="223">
        <v>21</v>
      </c>
      <c r="C1510" s="223">
        <v>27</v>
      </c>
      <c r="D1510" s="223">
        <v>2</v>
      </c>
      <c r="E1510" s="223">
        <v>73517</v>
      </c>
    </row>
    <row r="1511" spans="1:5" ht="15">
      <c r="A1511" s="223" t="s">
        <v>413</v>
      </c>
      <c r="B1511" s="223">
        <v>21</v>
      </c>
      <c r="C1511" s="223">
        <v>27</v>
      </c>
      <c r="D1511" s="223">
        <v>3</v>
      </c>
      <c r="E1511" s="223">
        <v>115465</v>
      </c>
    </row>
    <row r="1512" spans="1:5" ht="15">
      <c r="A1512" s="223" t="s">
        <v>413</v>
      </c>
      <c r="B1512" s="223">
        <v>21</v>
      </c>
      <c r="C1512" s="223">
        <v>27</v>
      </c>
      <c r="D1512" s="223">
        <v>4</v>
      </c>
      <c r="E1512" s="223">
        <v>97704</v>
      </c>
    </row>
    <row r="1513" spans="1:5" ht="15">
      <c r="A1513" s="223" t="s">
        <v>413</v>
      </c>
      <c r="B1513" s="223">
        <v>21</v>
      </c>
      <c r="C1513" s="223">
        <v>27</v>
      </c>
      <c r="D1513" s="223">
        <v>5</v>
      </c>
      <c r="E1513" s="223">
        <v>4340</v>
      </c>
    </row>
    <row r="1514" spans="1:5" ht="15">
      <c r="A1514" s="223" t="s">
        <v>413</v>
      </c>
      <c r="B1514" s="223">
        <v>21</v>
      </c>
      <c r="C1514" s="223">
        <v>27</v>
      </c>
      <c r="D1514" s="223">
        <v>7</v>
      </c>
      <c r="E1514" s="223">
        <v>825</v>
      </c>
    </row>
    <row r="1515" spans="1:5" ht="15">
      <c r="A1515" s="223" t="s">
        <v>413</v>
      </c>
      <c r="B1515" s="223">
        <v>21</v>
      </c>
      <c r="C1515" s="223">
        <v>31</v>
      </c>
      <c r="D1515" s="223">
        <v>2</v>
      </c>
      <c r="E1515" s="223">
        <v>452</v>
      </c>
    </row>
    <row r="1516" spans="1:5" ht="15">
      <c r="A1516" s="223" t="s">
        <v>413</v>
      </c>
      <c r="B1516" s="223">
        <v>21</v>
      </c>
      <c r="C1516" s="223">
        <v>31</v>
      </c>
      <c r="D1516" s="223">
        <v>4</v>
      </c>
      <c r="E1516" s="223">
        <v>44</v>
      </c>
    </row>
    <row r="1517" spans="1:5" ht="15">
      <c r="A1517" s="223" t="s">
        <v>413</v>
      </c>
      <c r="B1517" s="223">
        <v>21</v>
      </c>
      <c r="C1517" s="223">
        <v>31</v>
      </c>
      <c r="D1517" s="223">
        <v>7</v>
      </c>
      <c r="E1517" s="223">
        <v>500</v>
      </c>
    </row>
    <row r="1518" spans="1:5" ht="15">
      <c r="A1518" s="223" t="s">
        <v>413</v>
      </c>
      <c r="B1518" s="223">
        <v>24</v>
      </c>
      <c r="C1518" s="223">
        <v>21</v>
      </c>
      <c r="D1518" s="223">
        <v>3</v>
      </c>
      <c r="E1518" s="223">
        <v>5126</v>
      </c>
    </row>
    <row r="1519" spans="1:5" ht="15">
      <c r="A1519" s="223" t="s">
        <v>413</v>
      </c>
      <c r="B1519" s="223">
        <v>24</v>
      </c>
      <c r="C1519" s="223">
        <v>21</v>
      </c>
      <c r="D1519" s="223">
        <v>4</v>
      </c>
      <c r="E1519" s="223">
        <v>2624</v>
      </c>
    </row>
    <row r="1520" spans="1:5" ht="15">
      <c r="A1520" s="223" t="s">
        <v>413</v>
      </c>
      <c r="B1520" s="223">
        <v>24</v>
      </c>
      <c r="C1520" s="223">
        <v>26</v>
      </c>
      <c r="D1520" s="223">
        <v>7</v>
      </c>
      <c r="E1520" s="223">
        <v>28976</v>
      </c>
    </row>
    <row r="1521" spans="1:5" ht="15">
      <c r="A1521" s="223" t="s">
        <v>413</v>
      </c>
      <c r="B1521" s="223">
        <v>24</v>
      </c>
      <c r="C1521" s="223">
        <v>27</v>
      </c>
      <c r="D1521" s="223">
        <v>3</v>
      </c>
      <c r="E1521" s="223">
        <v>19218</v>
      </c>
    </row>
    <row r="1522" spans="1:5" ht="15">
      <c r="A1522" s="223" t="s">
        <v>413</v>
      </c>
      <c r="B1522" s="223">
        <v>24</v>
      </c>
      <c r="C1522" s="223">
        <v>27</v>
      </c>
      <c r="D1522" s="223">
        <v>4</v>
      </c>
      <c r="E1522" s="223">
        <v>11902</v>
      </c>
    </row>
    <row r="1523" spans="1:5" ht="15">
      <c r="A1523" s="223" t="s">
        <v>413</v>
      </c>
      <c r="B1523" s="223">
        <v>24</v>
      </c>
      <c r="C1523" s="223">
        <v>31</v>
      </c>
      <c r="D1523" s="223">
        <v>7</v>
      </c>
      <c r="E1523" s="223">
        <v>2096</v>
      </c>
    </row>
    <row r="1524" spans="1:5" ht="15">
      <c r="A1524" s="223" t="s">
        <v>415</v>
      </c>
      <c r="B1524" s="223">
        <v>21</v>
      </c>
      <c r="C1524" s="223">
        <v>21</v>
      </c>
      <c r="D1524" s="223">
        <v>2</v>
      </c>
      <c r="E1524" s="223">
        <v>310814</v>
      </c>
    </row>
    <row r="1525" spans="1:5" ht="15">
      <c r="A1525" s="223" t="s">
        <v>415</v>
      </c>
      <c r="B1525" s="223">
        <v>21</v>
      </c>
      <c r="C1525" s="223">
        <v>21</v>
      </c>
      <c r="D1525" s="223">
        <v>3</v>
      </c>
      <c r="E1525" s="223">
        <v>65067</v>
      </c>
    </row>
    <row r="1526" spans="1:5" ht="15">
      <c r="A1526" s="223" t="s">
        <v>415</v>
      </c>
      <c r="B1526" s="223">
        <v>21</v>
      </c>
      <c r="C1526" s="223">
        <v>21</v>
      </c>
      <c r="D1526" s="223">
        <v>4</v>
      </c>
      <c r="E1526" s="223">
        <v>118934</v>
      </c>
    </row>
    <row r="1527" spans="1:5" ht="15">
      <c r="A1527" s="223" t="s">
        <v>415</v>
      </c>
      <c r="B1527" s="223">
        <v>21</v>
      </c>
      <c r="C1527" s="223">
        <v>21</v>
      </c>
      <c r="D1527" s="223">
        <v>7</v>
      </c>
      <c r="E1527" s="223">
        <v>3000</v>
      </c>
    </row>
    <row r="1528" spans="1:5" ht="15">
      <c r="A1528" s="223" t="s">
        <v>415</v>
      </c>
      <c r="B1528" s="223">
        <v>21</v>
      </c>
      <c r="C1528" s="223">
        <v>26</v>
      </c>
      <c r="D1528" s="223">
        <v>2</v>
      </c>
      <c r="E1528" s="223">
        <v>865791</v>
      </c>
    </row>
    <row r="1529" spans="1:5" ht="15">
      <c r="A1529" s="223" t="s">
        <v>415</v>
      </c>
      <c r="B1529" s="223">
        <v>21</v>
      </c>
      <c r="C1529" s="223">
        <v>26</v>
      </c>
      <c r="D1529" s="223">
        <v>3</v>
      </c>
      <c r="E1529" s="223">
        <v>128360</v>
      </c>
    </row>
    <row r="1530" spans="1:5" ht="15">
      <c r="A1530" s="223" t="s">
        <v>415</v>
      </c>
      <c r="B1530" s="223">
        <v>21</v>
      </c>
      <c r="C1530" s="223">
        <v>26</v>
      </c>
      <c r="D1530" s="223">
        <v>4</v>
      </c>
      <c r="E1530" s="223">
        <v>375846</v>
      </c>
    </row>
    <row r="1531" spans="1:5" ht="15">
      <c r="A1531" s="223" t="s">
        <v>415</v>
      </c>
      <c r="B1531" s="223">
        <v>21</v>
      </c>
      <c r="C1531" s="223">
        <v>26</v>
      </c>
      <c r="D1531" s="223">
        <v>5</v>
      </c>
      <c r="E1531" s="223">
        <v>2800</v>
      </c>
    </row>
    <row r="1532" spans="1:5" ht="15">
      <c r="A1532" s="223" t="s">
        <v>415</v>
      </c>
      <c r="B1532" s="223">
        <v>21</v>
      </c>
      <c r="C1532" s="223">
        <v>26</v>
      </c>
      <c r="D1532" s="223">
        <v>7</v>
      </c>
      <c r="E1532" s="223">
        <v>325000</v>
      </c>
    </row>
    <row r="1533" spans="1:5" ht="15">
      <c r="A1533" s="223" t="s">
        <v>415</v>
      </c>
      <c r="B1533" s="223">
        <v>21</v>
      </c>
      <c r="C1533" s="223">
        <v>26</v>
      </c>
      <c r="D1533" s="223">
        <v>8</v>
      </c>
      <c r="E1533" s="223">
        <v>500</v>
      </c>
    </row>
    <row r="1534" spans="1:5" ht="15">
      <c r="A1534" s="223" t="s">
        <v>415</v>
      </c>
      <c r="B1534" s="223">
        <v>21</v>
      </c>
      <c r="C1534" s="223">
        <v>27</v>
      </c>
      <c r="D1534" s="223">
        <v>2</v>
      </c>
      <c r="E1534" s="223">
        <v>2830061</v>
      </c>
    </row>
    <row r="1535" spans="1:5" ht="15">
      <c r="A1535" s="223" t="s">
        <v>415</v>
      </c>
      <c r="B1535" s="223">
        <v>21</v>
      </c>
      <c r="C1535" s="223">
        <v>27</v>
      </c>
      <c r="D1535" s="223">
        <v>3</v>
      </c>
      <c r="E1535" s="223">
        <v>1932635</v>
      </c>
    </row>
    <row r="1536" spans="1:5" ht="15">
      <c r="A1536" s="223" t="s">
        <v>415</v>
      </c>
      <c r="B1536" s="223">
        <v>21</v>
      </c>
      <c r="C1536" s="223">
        <v>27</v>
      </c>
      <c r="D1536" s="223">
        <v>4</v>
      </c>
      <c r="E1536" s="223">
        <v>2233308</v>
      </c>
    </row>
    <row r="1537" spans="1:5" ht="15">
      <c r="A1537" s="223" t="s">
        <v>415</v>
      </c>
      <c r="B1537" s="223">
        <v>21</v>
      </c>
      <c r="C1537" s="223">
        <v>27</v>
      </c>
      <c r="D1537" s="223">
        <v>5</v>
      </c>
      <c r="E1537" s="223">
        <v>3800</v>
      </c>
    </row>
    <row r="1538" spans="1:5" ht="15">
      <c r="A1538" s="223" t="s">
        <v>415</v>
      </c>
      <c r="B1538" s="223">
        <v>21</v>
      </c>
      <c r="C1538" s="223">
        <v>27</v>
      </c>
      <c r="D1538" s="223">
        <v>7</v>
      </c>
      <c r="E1538" s="223">
        <v>475000</v>
      </c>
    </row>
    <row r="1539" spans="1:5" ht="15">
      <c r="A1539" s="223" t="s">
        <v>415</v>
      </c>
      <c r="B1539" s="223">
        <v>21</v>
      </c>
      <c r="C1539" s="223">
        <v>27</v>
      </c>
      <c r="D1539" s="223">
        <v>8</v>
      </c>
      <c r="E1539" s="223">
        <v>500</v>
      </c>
    </row>
    <row r="1540" spans="1:5" ht="15">
      <c r="A1540" s="223" t="s">
        <v>415</v>
      </c>
      <c r="B1540" s="223">
        <v>21</v>
      </c>
      <c r="C1540" s="223">
        <v>31</v>
      </c>
      <c r="D1540" s="223">
        <v>2</v>
      </c>
      <c r="E1540" s="223">
        <v>152799</v>
      </c>
    </row>
    <row r="1541" spans="1:5" ht="15">
      <c r="A1541" s="223" t="s">
        <v>415</v>
      </c>
      <c r="B1541" s="223">
        <v>21</v>
      </c>
      <c r="C1541" s="223">
        <v>31</v>
      </c>
      <c r="D1541" s="223">
        <v>4</v>
      </c>
      <c r="E1541" s="223">
        <v>35274</v>
      </c>
    </row>
    <row r="1542" spans="1:5" ht="15">
      <c r="A1542" s="223" t="s">
        <v>415</v>
      </c>
      <c r="B1542" s="223">
        <v>21</v>
      </c>
      <c r="C1542" s="223">
        <v>31</v>
      </c>
      <c r="D1542" s="223">
        <v>7</v>
      </c>
      <c r="E1542" s="223">
        <v>15000</v>
      </c>
    </row>
    <row r="1543" spans="1:5" ht="15">
      <c r="A1543" s="223" t="s">
        <v>415</v>
      </c>
      <c r="B1543" s="223">
        <v>21</v>
      </c>
      <c r="C1543" s="223">
        <v>32</v>
      </c>
      <c r="D1543" s="223">
        <v>5</v>
      </c>
      <c r="E1543" s="223">
        <v>3000</v>
      </c>
    </row>
    <row r="1544" spans="1:5" ht="15">
      <c r="A1544" s="223" t="s">
        <v>415</v>
      </c>
      <c r="B1544" s="223">
        <v>21</v>
      </c>
      <c r="C1544" s="223">
        <v>33</v>
      </c>
      <c r="D1544" s="223">
        <v>5</v>
      </c>
      <c r="E1544" s="223">
        <v>2500</v>
      </c>
    </row>
    <row r="1545" spans="1:5" ht="15">
      <c r="A1545" s="223" t="s">
        <v>415</v>
      </c>
      <c r="B1545" s="223">
        <v>23</v>
      </c>
      <c r="C1545" s="223">
        <v>26</v>
      </c>
      <c r="D1545" s="223">
        <v>5</v>
      </c>
      <c r="E1545" s="223">
        <v>31600</v>
      </c>
    </row>
    <row r="1546" spans="1:5" ht="15">
      <c r="A1546" s="223" t="s">
        <v>415</v>
      </c>
      <c r="B1546" s="223">
        <v>23</v>
      </c>
      <c r="C1546" s="223">
        <v>27</v>
      </c>
      <c r="D1546" s="223">
        <v>5</v>
      </c>
      <c r="E1546" s="223">
        <v>16202</v>
      </c>
    </row>
    <row r="1547" spans="1:5" ht="15">
      <c r="A1547" s="223" t="s">
        <v>415</v>
      </c>
      <c r="B1547" s="223">
        <v>23</v>
      </c>
      <c r="C1547" s="223">
        <v>27</v>
      </c>
      <c r="D1547" s="223">
        <v>7</v>
      </c>
      <c r="E1547" s="223">
        <v>6000</v>
      </c>
    </row>
    <row r="1548" spans="1:5" ht="15">
      <c r="A1548" s="223" t="s">
        <v>415</v>
      </c>
      <c r="B1548" s="223">
        <v>23</v>
      </c>
      <c r="C1548" s="223">
        <v>31</v>
      </c>
      <c r="D1548" s="223">
        <v>2</v>
      </c>
      <c r="E1548" s="223">
        <v>99567</v>
      </c>
    </row>
    <row r="1549" spans="1:5" ht="15">
      <c r="A1549" s="223" t="s">
        <v>415</v>
      </c>
      <c r="B1549" s="223">
        <v>23</v>
      </c>
      <c r="C1549" s="223">
        <v>31</v>
      </c>
      <c r="D1549" s="223">
        <v>4</v>
      </c>
      <c r="E1549" s="223">
        <v>22821</v>
      </c>
    </row>
    <row r="1550" spans="1:5" ht="15">
      <c r="A1550" s="223" t="s">
        <v>415</v>
      </c>
      <c r="B1550" s="223">
        <v>23</v>
      </c>
      <c r="C1550" s="223">
        <v>31</v>
      </c>
      <c r="D1550" s="223">
        <v>7</v>
      </c>
      <c r="E1550" s="223">
        <v>46000</v>
      </c>
    </row>
    <row r="1551" spans="1:5" ht="15">
      <c r="A1551" s="223" t="s">
        <v>415</v>
      </c>
      <c r="B1551" s="223">
        <v>23</v>
      </c>
      <c r="C1551" s="223">
        <v>32</v>
      </c>
      <c r="D1551" s="223">
        <v>5</v>
      </c>
      <c r="E1551" s="223">
        <v>12988</v>
      </c>
    </row>
    <row r="1552" spans="1:5" ht="15">
      <c r="A1552" s="223" t="s">
        <v>415</v>
      </c>
      <c r="B1552" s="223">
        <v>24</v>
      </c>
      <c r="C1552" s="223">
        <v>26</v>
      </c>
      <c r="D1552" s="223">
        <v>2</v>
      </c>
      <c r="E1552" s="223">
        <v>191895</v>
      </c>
    </row>
    <row r="1553" spans="1:5" ht="15">
      <c r="A1553" s="223" t="s">
        <v>415</v>
      </c>
      <c r="B1553" s="223">
        <v>24</v>
      </c>
      <c r="C1553" s="223">
        <v>26</v>
      </c>
      <c r="D1553" s="223">
        <v>4</v>
      </c>
      <c r="E1553" s="223">
        <v>68904</v>
      </c>
    </row>
    <row r="1554" spans="1:5" ht="15">
      <c r="A1554" s="223" t="s">
        <v>415</v>
      </c>
      <c r="B1554" s="223">
        <v>24</v>
      </c>
      <c r="C1554" s="223">
        <v>26</v>
      </c>
      <c r="D1554" s="223">
        <v>5</v>
      </c>
      <c r="E1554" s="223">
        <v>100</v>
      </c>
    </row>
    <row r="1555" spans="1:5" ht="15">
      <c r="A1555" s="223" t="s">
        <v>415</v>
      </c>
      <c r="B1555" s="223">
        <v>24</v>
      </c>
      <c r="C1555" s="223">
        <v>26</v>
      </c>
      <c r="D1555" s="223">
        <v>7</v>
      </c>
      <c r="E1555" s="223">
        <v>95000</v>
      </c>
    </row>
    <row r="1556" spans="1:5" ht="15">
      <c r="A1556" s="223" t="s">
        <v>415</v>
      </c>
      <c r="B1556" s="223">
        <v>24</v>
      </c>
      <c r="C1556" s="223">
        <v>27</v>
      </c>
      <c r="D1556" s="223">
        <v>2</v>
      </c>
      <c r="E1556" s="223">
        <v>348584</v>
      </c>
    </row>
    <row r="1557" spans="1:5" ht="15">
      <c r="A1557" s="223" t="s">
        <v>415</v>
      </c>
      <c r="B1557" s="223">
        <v>24</v>
      </c>
      <c r="C1557" s="223">
        <v>27</v>
      </c>
      <c r="D1557" s="223">
        <v>3</v>
      </c>
      <c r="E1557" s="223">
        <v>22151</v>
      </c>
    </row>
    <row r="1558" spans="1:5" ht="15">
      <c r="A1558" s="223" t="s">
        <v>415</v>
      </c>
      <c r="B1558" s="223">
        <v>24</v>
      </c>
      <c r="C1558" s="223">
        <v>27</v>
      </c>
      <c r="D1558" s="223">
        <v>4</v>
      </c>
      <c r="E1558" s="223">
        <v>141488</v>
      </c>
    </row>
    <row r="1559" spans="1:5" ht="15">
      <c r="A1559" s="223" t="s">
        <v>415</v>
      </c>
      <c r="B1559" s="223">
        <v>24</v>
      </c>
      <c r="C1559" s="223">
        <v>27</v>
      </c>
      <c r="D1559" s="223">
        <v>5</v>
      </c>
      <c r="E1559" s="223">
        <v>3500</v>
      </c>
    </row>
    <row r="1560" spans="1:5" ht="15">
      <c r="A1560" s="223" t="s">
        <v>415</v>
      </c>
      <c r="B1560" s="223">
        <v>24</v>
      </c>
      <c r="C1560" s="223">
        <v>27</v>
      </c>
      <c r="D1560" s="223">
        <v>7</v>
      </c>
      <c r="E1560" s="223">
        <v>63000</v>
      </c>
    </row>
    <row r="1561" spans="1:5" ht="15">
      <c r="A1561" s="223" t="s">
        <v>415</v>
      </c>
      <c r="B1561" s="223">
        <v>24</v>
      </c>
      <c r="C1561" s="223">
        <v>31</v>
      </c>
      <c r="D1561" s="223">
        <v>2</v>
      </c>
      <c r="E1561" s="223">
        <v>23394</v>
      </c>
    </row>
    <row r="1562" spans="1:5" ht="15">
      <c r="A1562" s="223" t="s">
        <v>415</v>
      </c>
      <c r="B1562" s="223">
        <v>24</v>
      </c>
      <c r="C1562" s="223">
        <v>31</v>
      </c>
      <c r="D1562" s="223">
        <v>4</v>
      </c>
      <c r="E1562" s="223">
        <v>5402</v>
      </c>
    </row>
    <row r="1563" spans="1:5" ht="15">
      <c r="A1563" s="223" t="s">
        <v>417</v>
      </c>
      <c r="B1563" s="223">
        <v>21</v>
      </c>
      <c r="C1563" s="223">
        <v>21</v>
      </c>
      <c r="D1563" s="223">
        <v>2</v>
      </c>
      <c r="E1563" s="223">
        <v>194037</v>
      </c>
    </row>
    <row r="1564" spans="1:5" ht="15">
      <c r="A1564" s="223" t="s">
        <v>417</v>
      </c>
      <c r="B1564" s="223">
        <v>21</v>
      </c>
      <c r="C1564" s="223">
        <v>21</v>
      </c>
      <c r="D1564" s="223">
        <v>3</v>
      </c>
      <c r="E1564" s="223">
        <v>88900</v>
      </c>
    </row>
    <row r="1565" spans="1:5" ht="15">
      <c r="A1565" s="223" t="s">
        <v>417</v>
      </c>
      <c r="B1565" s="223">
        <v>21</v>
      </c>
      <c r="C1565" s="223">
        <v>21</v>
      </c>
      <c r="D1565" s="223">
        <v>4</v>
      </c>
      <c r="E1565" s="223">
        <v>111196</v>
      </c>
    </row>
    <row r="1566" spans="1:5" ht="15">
      <c r="A1566" s="223" t="s">
        <v>417</v>
      </c>
      <c r="B1566" s="223">
        <v>21</v>
      </c>
      <c r="C1566" s="223">
        <v>21</v>
      </c>
      <c r="D1566" s="223">
        <v>5</v>
      </c>
      <c r="E1566" s="223">
        <v>5000</v>
      </c>
    </row>
    <row r="1567" spans="1:5" ht="15">
      <c r="A1567" s="223" t="s">
        <v>417</v>
      </c>
      <c r="B1567" s="223">
        <v>21</v>
      </c>
      <c r="C1567" s="223">
        <v>21</v>
      </c>
      <c r="D1567" s="223">
        <v>7</v>
      </c>
      <c r="E1567" s="223">
        <v>16200</v>
      </c>
    </row>
    <row r="1568" spans="1:5" ht="15">
      <c r="A1568" s="223" t="s">
        <v>417</v>
      </c>
      <c r="B1568" s="223">
        <v>21</v>
      </c>
      <c r="C1568" s="223">
        <v>21</v>
      </c>
      <c r="D1568" s="223">
        <v>8</v>
      </c>
      <c r="E1568" s="223">
        <v>500</v>
      </c>
    </row>
    <row r="1569" spans="1:5" ht="15">
      <c r="A1569" s="223" t="s">
        <v>417</v>
      </c>
      <c r="B1569" s="223">
        <v>21</v>
      </c>
      <c r="C1569" s="223">
        <v>25</v>
      </c>
      <c r="D1569" s="223">
        <v>3</v>
      </c>
      <c r="E1569" s="223">
        <v>55834</v>
      </c>
    </row>
    <row r="1570" spans="1:5" ht="15">
      <c r="A1570" s="223" t="s">
        <v>417</v>
      </c>
      <c r="B1570" s="223">
        <v>21</v>
      </c>
      <c r="C1570" s="223">
        <v>25</v>
      </c>
      <c r="D1570" s="223">
        <v>4</v>
      </c>
      <c r="E1570" s="223">
        <v>47688</v>
      </c>
    </row>
    <row r="1571" spans="1:5" ht="15">
      <c r="A1571" s="223" t="s">
        <v>417</v>
      </c>
      <c r="B1571" s="223">
        <v>21</v>
      </c>
      <c r="C1571" s="223">
        <v>26</v>
      </c>
      <c r="D1571" s="223">
        <v>2</v>
      </c>
      <c r="E1571" s="223">
        <v>381052</v>
      </c>
    </row>
    <row r="1572" spans="1:5" ht="15">
      <c r="A1572" s="223" t="s">
        <v>417</v>
      </c>
      <c r="B1572" s="223">
        <v>21</v>
      </c>
      <c r="C1572" s="223">
        <v>26</v>
      </c>
      <c r="D1572" s="223">
        <v>3</v>
      </c>
      <c r="E1572" s="223">
        <v>55449</v>
      </c>
    </row>
    <row r="1573" spans="1:5" ht="15">
      <c r="A1573" s="223" t="s">
        <v>417</v>
      </c>
      <c r="B1573" s="223">
        <v>21</v>
      </c>
      <c r="C1573" s="223">
        <v>26</v>
      </c>
      <c r="D1573" s="223">
        <v>4</v>
      </c>
      <c r="E1573" s="223">
        <v>183505</v>
      </c>
    </row>
    <row r="1574" spans="1:5" ht="15">
      <c r="A1574" s="223" t="s">
        <v>417</v>
      </c>
      <c r="B1574" s="223">
        <v>21</v>
      </c>
      <c r="C1574" s="223">
        <v>26</v>
      </c>
      <c r="D1574" s="223">
        <v>5</v>
      </c>
      <c r="E1574" s="223">
        <v>11000</v>
      </c>
    </row>
    <row r="1575" spans="1:5" ht="15">
      <c r="A1575" s="223" t="s">
        <v>417</v>
      </c>
      <c r="B1575" s="223">
        <v>21</v>
      </c>
      <c r="C1575" s="223">
        <v>26</v>
      </c>
      <c r="D1575" s="223">
        <v>7</v>
      </c>
      <c r="E1575" s="223">
        <v>373278</v>
      </c>
    </row>
    <row r="1576" spans="1:5" ht="15">
      <c r="A1576" s="223" t="s">
        <v>417</v>
      </c>
      <c r="B1576" s="223">
        <v>21</v>
      </c>
      <c r="C1576" s="223">
        <v>26</v>
      </c>
      <c r="D1576" s="223">
        <v>8</v>
      </c>
      <c r="E1576" s="223">
        <v>200</v>
      </c>
    </row>
    <row r="1577" spans="1:5" ht="15">
      <c r="A1577" s="223" t="s">
        <v>417</v>
      </c>
      <c r="B1577" s="223">
        <v>21</v>
      </c>
      <c r="C1577" s="223">
        <v>27</v>
      </c>
      <c r="D1577" s="223">
        <v>0</v>
      </c>
      <c r="E1577" s="223">
        <v>500</v>
      </c>
    </row>
    <row r="1578" spans="1:5" ht="15">
      <c r="A1578" s="223" t="s">
        <v>417</v>
      </c>
      <c r="B1578" s="223">
        <v>21</v>
      </c>
      <c r="C1578" s="223">
        <v>27</v>
      </c>
      <c r="D1578" s="223">
        <v>2</v>
      </c>
      <c r="E1578" s="223">
        <v>1004833</v>
      </c>
    </row>
    <row r="1579" spans="1:5" ht="15">
      <c r="A1579" s="223" t="s">
        <v>417</v>
      </c>
      <c r="B1579" s="223">
        <v>21</v>
      </c>
      <c r="C1579" s="223">
        <v>27</v>
      </c>
      <c r="D1579" s="223">
        <v>3</v>
      </c>
      <c r="E1579" s="223">
        <v>440842</v>
      </c>
    </row>
    <row r="1580" spans="1:5" ht="15">
      <c r="A1580" s="223" t="s">
        <v>417</v>
      </c>
      <c r="B1580" s="223">
        <v>21</v>
      </c>
      <c r="C1580" s="223">
        <v>27</v>
      </c>
      <c r="D1580" s="223">
        <v>4</v>
      </c>
      <c r="E1580" s="223">
        <v>634026</v>
      </c>
    </row>
    <row r="1581" spans="1:5" ht="15">
      <c r="A1581" s="223" t="s">
        <v>417</v>
      </c>
      <c r="B1581" s="223">
        <v>21</v>
      </c>
      <c r="C1581" s="223">
        <v>27</v>
      </c>
      <c r="D1581" s="223">
        <v>5</v>
      </c>
      <c r="E1581" s="223">
        <v>10500</v>
      </c>
    </row>
    <row r="1582" spans="1:5" ht="15">
      <c r="A1582" s="223" t="s">
        <v>417</v>
      </c>
      <c r="B1582" s="223">
        <v>21</v>
      </c>
      <c r="C1582" s="223">
        <v>27</v>
      </c>
      <c r="D1582" s="223">
        <v>7</v>
      </c>
      <c r="E1582" s="223">
        <v>49105</v>
      </c>
    </row>
    <row r="1583" spans="1:5" ht="15">
      <c r="A1583" s="223" t="s">
        <v>417</v>
      </c>
      <c r="B1583" s="223">
        <v>21</v>
      </c>
      <c r="C1583" s="223">
        <v>27</v>
      </c>
      <c r="D1583" s="223">
        <v>8</v>
      </c>
      <c r="E1583" s="223">
        <v>100</v>
      </c>
    </row>
    <row r="1584" spans="1:5" ht="15">
      <c r="A1584" s="223" t="s">
        <v>417</v>
      </c>
      <c r="B1584" s="223">
        <v>21</v>
      </c>
      <c r="C1584" s="223">
        <v>31</v>
      </c>
      <c r="D1584" s="223">
        <v>0</v>
      </c>
      <c r="E1584" s="223">
        <v>1000</v>
      </c>
    </row>
    <row r="1585" spans="1:5" ht="15">
      <c r="A1585" s="223" t="s">
        <v>417</v>
      </c>
      <c r="B1585" s="223">
        <v>21</v>
      </c>
      <c r="C1585" s="223">
        <v>31</v>
      </c>
      <c r="D1585" s="223">
        <v>2</v>
      </c>
      <c r="E1585" s="223">
        <v>830</v>
      </c>
    </row>
    <row r="1586" spans="1:5" ht="15">
      <c r="A1586" s="223" t="s">
        <v>417</v>
      </c>
      <c r="B1586" s="223">
        <v>21</v>
      </c>
      <c r="C1586" s="223">
        <v>31</v>
      </c>
      <c r="D1586" s="223">
        <v>3</v>
      </c>
      <c r="E1586" s="223">
        <v>1210</v>
      </c>
    </row>
    <row r="1587" spans="1:5" ht="15">
      <c r="A1587" s="223" t="s">
        <v>417</v>
      </c>
      <c r="B1587" s="223">
        <v>21</v>
      </c>
      <c r="C1587" s="223">
        <v>31</v>
      </c>
      <c r="D1587" s="223">
        <v>4</v>
      </c>
      <c r="E1587" s="223">
        <v>345</v>
      </c>
    </row>
    <row r="1588" spans="1:5" ht="15">
      <c r="A1588" s="223" t="s">
        <v>417</v>
      </c>
      <c r="B1588" s="223">
        <v>21</v>
      </c>
      <c r="C1588" s="223">
        <v>31</v>
      </c>
      <c r="D1588" s="223">
        <v>7</v>
      </c>
      <c r="E1588" s="223">
        <v>4000</v>
      </c>
    </row>
    <row r="1589" spans="1:5" ht="15">
      <c r="A1589" s="223" t="s">
        <v>417</v>
      </c>
      <c r="B1589" s="223">
        <v>21</v>
      </c>
      <c r="C1589" s="223">
        <v>31</v>
      </c>
      <c r="D1589" s="223">
        <v>8</v>
      </c>
      <c r="E1589" s="223">
        <v>4000</v>
      </c>
    </row>
    <row r="1590" spans="1:5" ht="15">
      <c r="A1590" s="223" t="s">
        <v>417</v>
      </c>
      <c r="B1590" s="223">
        <v>21</v>
      </c>
      <c r="C1590" s="223">
        <v>32</v>
      </c>
      <c r="D1590" s="223">
        <v>5</v>
      </c>
      <c r="E1590" s="223">
        <v>4000</v>
      </c>
    </row>
    <row r="1591" spans="1:5" ht="15">
      <c r="A1591" s="223" t="s">
        <v>417</v>
      </c>
      <c r="B1591" s="223">
        <v>21</v>
      </c>
      <c r="C1591" s="223">
        <v>32</v>
      </c>
      <c r="D1591" s="223">
        <v>7</v>
      </c>
      <c r="E1591" s="223">
        <v>6851</v>
      </c>
    </row>
    <row r="1592" spans="1:5" ht="15">
      <c r="A1592" s="223" t="s">
        <v>417</v>
      </c>
      <c r="B1592" s="223">
        <v>21</v>
      </c>
      <c r="C1592" s="223">
        <v>33</v>
      </c>
      <c r="D1592" s="223">
        <v>5</v>
      </c>
      <c r="E1592" s="223">
        <v>8000</v>
      </c>
    </row>
    <row r="1593" spans="1:5" ht="15">
      <c r="A1593" s="223" t="s">
        <v>417</v>
      </c>
      <c r="B1593" s="223">
        <v>21</v>
      </c>
      <c r="C1593" s="223">
        <v>34</v>
      </c>
      <c r="D1593" s="223">
        <v>2</v>
      </c>
      <c r="E1593" s="223">
        <v>20437</v>
      </c>
    </row>
    <row r="1594" spans="1:5" ht="15">
      <c r="A1594" s="223" t="s">
        <v>417</v>
      </c>
      <c r="B1594" s="223">
        <v>21</v>
      </c>
      <c r="C1594" s="223">
        <v>34</v>
      </c>
      <c r="D1594" s="223">
        <v>4</v>
      </c>
      <c r="E1594" s="223">
        <v>4187</v>
      </c>
    </row>
    <row r="1595" spans="1:5" ht="15">
      <c r="A1595" s="223" t="s">
        <v>417</v>
      </c>
      <c r="B1595" s="223">
        <v>24</v>
      </c>
      <c r="C1595" s="223">
        <v>27</v>
      </c>
      <c r="D1595" s="223">
        <v>3</v>
      </c>
      <c r="E1595" s="223">
        <v>323412</v>
      </c>
    </row>
    <row r="1596" spans="1:5" ht="15">
      <c r="A1596" s="223" t="s">
        <v>417</v>
      </c>
      <c r="B1596" s="223">
        <v>24</v>
      </c>
      <c r="C1596" s="223">
        <v>27</v>
      </c>
      <c r="D1596" s="223">
        <v>4</v>
      </c>
      <c r="E1596" s="223">
        <v>214281</v>
      </c>
    </row>
    <row r="1597" spans="1:5" ht="15">
      <c r="A1597" s="223" t="s">
        <v>417</v>
      </c>
      <c r="B1597" s="223">
        <v>24</v>
      </c>
      <c r="C1597" s="223">
        <v>27</v>
      </c>
      <c r="D1597" s="223">
        <v>5</v>
      </c>
      <c r="E1597" s="223">
        <v>1051</v>
      </c>
    </row>
    <row r="1598" spans="1:5" ht="15">
      <c r="A1598" s="223" t="s">
        <v>419</v>
      </c>
      <c r="B1598" s="223">
        <v>21</v>
      </c>
      <c r="C1598" s="223">
        <v>27</v>
      </c>
      <c r="D1598" s="223">
        <v>2</v>
      </c>
      <c r="E1598" s="223">
        <v>26897</v>
      </c>
    </row>
    <row r="1599" spans="1:5" ht="15">
      <c r="A1599" s="223" t="s">
        <v>419</v>
      </c>
      <c r="B1599" s="223">
        <v>21</v>
      </c>
      <c r="C1599" s="223">
        <v>27</v>
      </c>
      <c r="D1599" s="223">
        <v>3</v>
      </c>
      <c r="E1599" s="223">
        <v>16403</v>
      </c>
    </row>
    <row r="1600" spans="1:5" ht="15">
      <c r="A1600" s="223" t="s">
        <v>419</v>
      </c>
      <c r="B1600" s="223">
        <v>21</v>
      </c>
      <c r="C1600" s="223">
        <v>27</v>
      </c>
      <c r="D1600" s="223">
        <v>4</v>
      </c>
      <c r="E1600" s="223">
        <v>15973</v>
      </c>
    </row>
    <row r="1601" spans="1:5" ht="15">
      <c r="A1601" s="223" t="s">
        <v>419</v>
      </c>
      <c r="B1601" s="223">
        <v>21</v>
      </c>
      <c r="C1601" s="223">
        <v>27</v>
      </c>
      <c r="D1601" s="223">
        <v>5</v>
      </c>
      <c r="E1601" s="223">
        <v>5000</v>
      </c>
    </row>
    <row r="1602" spans="1:5" ht="15">
      <c r="A1602" s="223" t="s">
        <v>419</v>
      </c>
      <c r="B1602" s="223">
        <v>21</v>
      </c>
      <c r="C1602" s="223">
        <v>27</v>
      </c>
      <c r="D1602" s="223">
        <v>7</v>
      </c>
      <c r="E1602" s="223">
        <v>1500</v>
      </c>
    </row>
    <row r="1603" spans="1:5" ht="15">
      <c r="A1603" s="223" t="s">
        <v>419</v>
      </c>
      <c r="B1603" s="223">
        <v>21</v>
      </c>
      <c r="C1603" s="223">
        <v>29</v>
      </c>
      <c r="D1603" s="223">
        <v>7</v>
      </c>
      <c r="E1603" s="223">
        <v>58000</v>
      </c>
    </row>
    <row r="1604" spans="1:5" ht="15">
      <c r="A1604" s="223" t="s">
        <v>419</v>
      </c>
      <c r="B1604" s="223">
        <v>21</v>
      </c>
      <c r="C1604" s="223">
        <v>31</v>
      </c>
      <c r="D1604" s="223">
        <v>8</v>
      </c>
      <c r="E1604" s="223">
        <v>300</v>
      </c>
    </row>
    <row r="1605" spans="1:5" ht="15">
      <c r="A1605" s="223" t="s">
        <v>419</v>
      </c>
      <c r="B1605" s="223">
        <v>24</v>
      </c>
      <c r="C1605" s="223">
        <v>26</v>
      </c>
      <c r="D1605" s="223">
        <v>7</v>
      </c>
      <c r="E1605" s="223">
        <v>9685</v>
      </c>
    </row>
    <row r="1606" spans="1:5" ht="15">
      <c r="A1606" s="223" t="s">
        <v>513</v>
      </c>
      <c r="B1606" s="223">
        <v>21</v>
      </c>
      <c r="C1606" s="223">
        <v>21</v>
      </c>
      <c r="D1606" s="223">
        <v>0</v>
      </c>
      <c r="E1606" s="223">
        <v>400</v>
      </c>
    </row>
    <row r="1607" spans="1:5" ht="15">
      <c r="A1607" s="223" t="s">
        <v>513</v>
      </c>
      <c r="B1607" s="223">
        <v>21</v>
      </c>
      <c r="C1607" s="223">
        <v>21</v>
      </c>
      <c r="D1607" s="223">
        <v>2</v>
      </c>
      <c r="E1607" s="223">
        <v>712019</v>
      </c>
    </row>
    <row r="1608" spans="1:5" ht="15">
      <c r="A1608" s="223" t="s">
        <v>513</v>
      </c>
      <c r="B1608" s="223">
        <v>21</v>
      </c>
      <c r="C1608" s="223">
        <v>21</v>
      </c>
      <c r="D1608" s="223">
        <v>3</v>
      </c>
      <c r="E1608" s="223">
        <v>366123</v>
      </c>
    </row>
    <row r="1609" spans="1:5" ht="15">
      <c r="A1609" s="223" t="s">
        <v>513</v>
      </c>
      <c r="B1609" s="223">
        <v>21</v>
      </c>
      <c r="C1609" s="223">
        <v>21</v>
      </c>
      <c r="D1609" s="223">
        <v>4</v>
      </c>
      <c r="E1609" s="223">
        <v>338120</v>
      </c>
    </row>
    <row r="1610" spans="1:5" ht="15">
      <c r="A1610" s="223" t="s">
        <v>513</v>
      </c>
      <c r="B1610" s="223">
        <v>21</v>
      </c>
      <c r="C1610" s="223">
        <v>21</v>
      </c>
      <c r="D1610" s="223">
        <v>5</v>
      </c>
      <c r="E1610" s="223">
        <v>12580</v>
      </c>
    </row>
    <row r="1611" spans="1:5" ht="15">
      <c r="A1611" s="223" t="s">
        <v>513</v>
      </c>
      <c r="B1611" s="223">
        <v>21</v>
      </c>
      <c r="C1611" s="223">
        <v>21</v>
      </c>
      <c r="D1611" s="223">
        <v>7</v>
      </c>
      <c r="E1611" s="223">
        <v>13700</v>
      </c>
    </row>
    <row r="1612" spans="1:5" ht="15">
      <c r="A1612" s="223" t="s">
        <v>513</v>
      </c>
      <c r="B1612" s="223">
        <v>21</v>
      </c>
      <c r="C1612" s="223">
        <v>21</v>
      </c>
      <c r="D1612" s="223">
        <v>8</v>
      </c>
      <c r="E1612" s="223">
        <v>4300</v>
      </c>
    </row>
    <row r="1613" spans="1:5" ht="15">
      <c r="A1613" s="223" t="s">
        <v>513</v>
      </c>
      <c r="B1613" s="223">
        <v>21</v>
      </c>
      <c r="C1613" s="223">
        <v>25</v>
      </c>
      <c r="D1613" s="223">
        <v>3</v>
      </c>
      <c r="E1613" s="223">
        <v>902552</v>
      </c>
    </row>
    <row r="1614" spans="1:5" ht="15">
      <c r="A1614" s="223" t="s">
        <v>513</v>
      </c>
      <c r="B1614" s="223">
        <v>21</v>
      </c>
      <c r="C1614" s="223">
        <v>25</v>
      </c>
      <c r="D1614" s="223">
        <v>4</v>
      </c>
      <c r="E1614" s="223">
        <v>465836</v>
      </c>
    </row>
    <row r="1615" spans="1:5" ht="15">
      <c r="A1615" s="223" t="s">
        <v>513</v>
      </c>
      <c r="B1615" s="223">
        <v>21</v>
      </c>
      <c r="C1615" s="223">
        <v>25</v>
      </c>
      <c r="D1615" s="223">
        <v>7</v>
      </c>
      <c r="E1615" s="223">
        <v>123000</v>
      </c>
    </row>
    <row r="1616" spans="1:5" ht="15">
      <c r="A1616" s="223" t="s">
        <v>513</v>
      </c>
      <c r="B1616" s="223">
        <v>21</v>
      </c>
      <c r="C1616" s="223">
        <v>26</v>
      </c>
      <c r="D1616" s="223">
        <v>0</v>
      </c>
      <c r="E1616" s="223">
        <v>400</v>
      </c>
    </row>
    <row r="1617" spans="1:5" ht="15">
      <c r="A1617" s="223" t="s">
        <v>513</v>
      </c>
      <c r="B1617" s="223">
        <v>21</v>
      </c>
      <c r="C1617" s="223">
        <v>26</v>
      </c>
      <c r="D1617" s="223">
        <v>2</v>
      </c>
      <c r="E1617" s="223">
        <v>8184377</v>
      </c>
    </row>
    <row r="1618" spans="1:5" ht="15">
      <c r="A1618" s="223" t="s">
        <v>513</v>
      </c>
      <c r="B1618" s="223">
        <v>21</v>
      </c>
      <c r="C1618" s="223">
        <v>26</v>
      </c>
      <c r="D1618" s="223">
        <v>3</v>
      </c>
      <c r="E1618" s="223">
        <v>919262</v>
      </c>
    </row>
    <row r="1619" spans="1:5" ht="15">
      <c r="A1619" s="223" t="s">
        <v>513</v>
      </c>
      <c r="B1619" s="223">
        <v>21</v>
      </c>
      <c r="C1619" s="223">
        <v>26</v>
      </c>
      <c r="D1619" s="223">
        <v>4</v>
      </c>
      <c r="E1619" s="223">
        <v>3217734</v>
      </c>
    </row>
    <row r="1620" spans="1:5" ht="15">
      <c r="A1620" s="223" t="s">
        <v>513</v>
      </c>
      <c r="B1620" s="223">
        <v>21</v>
      </c>
      <c r="C1620" s="223">
        <v>26</v>
      </c>
      <c r="D1620" s="223">
        <v>5</v>
      </c>
      <c r="E1620" s="223">
        <v>51050</v>
      </c>
    </row>
    <row r="1621" spans="1:5" ht="15">
      <c r="A1621" s="223" t="s">
        <v>513</v>
      </c>
      <c r="B1621" s="223">
        <v>21</v>
      </c>
      <c r="C1621" s="223">
        <v>26</v>
      </c>
      <c r="D1621" s="223">
        <v>7</v>
      </c>
      <c r="E1621" s="223">
        <v>465600</v>
      </c>
    </row>
    <row r="1622" spans="1:5" ht="15">
      <c r="A1622" s="223" t="s">
        <v>513</v>
      </c>
      <c r="B1622" s="223">
        <v>21</v>
      </c>
      <c r="C1622" s="223">
        <v>26</v>
      </c>
      <c r="D1622" s="223">
        <v>8</v>
      </c>
      <c r="E1622" s="223">
        <v>3925</v>
      </c>
    </row>
    <row r="1623" spans="1:5" ht="15">
      <c r="A1623" s="223" t="s">
        <v>513</v>
      </c>
      <c r="B1623" s="223">
        <v>21</v>
      </c>
      <c r="C1623" s="223">
        <v>27</v>
      </c>
      <c r="D1623" s="223">
        <v>0</v>
      </c>
      <c r="E1623" s="223">
        <v>1500</v>
      </c>
    </row>
    <row r="1624" spans="1:5" ht="15">
      <c r="A1624" s="223" t="s">
        <v>513</v>
      </c>
      <c r="B1624" s="223">
        <v>21</v>
      </c>
      <c r="C1624" s="223">
        <v>27</v>
      </c>
      <c r="D1624" s="223">
        <v>2</v>
      </c>
      <c r="E1624" s="223">
        <v>15516124</v>
      </c>
    </row>
    <row r="1625" spans="1:5" ht="15">
      <c r="A1625" s="223" t="s">
        <v>513</v>
      </c>
      <c r="B1625" s="223">
        <v>21</v>
      </c>
      <c r="C1625" s="223">
        <v>27</v>
      </c>
      <c r="D1625" s="223">
        <v>3</v>
      </c>
      <c r="E1625" s="223">
        <v>8096728</v>
      </c>
    </row>
    <row r="1626" spans="1:5" ht="15">
      <c r="A1626" s="223" t="s">
        <v>513</v>
      </c>
      <c r="B1626" s="223">
        <v>21</v>
      </c>
      <c r="C1626" s="223">
        <v>27</v>
      </c>
      <c r="D1626" s="223">
        <v>4</v>
      </c>
      <c r="E1626" s="223">
        <v>9712216</v>
      </c>
    </row>
    <row r="1627" spans="1:5" ht="15">
      <c r="A1627" s="223" t="s">
        <v>513</v>
      </c>
      <c r="B1627" s="223">
        <v>21</v>
      </c>
      <c r="C1627" s="223">
        <v>27</v>
      </c>
      <c r="D1627" s="223">
        <v>5</v>
      </c>
      <c r="E1627" s="223">
        <v>51500</v>
      </c>
    </row>
    <row r="1628" spans="1:5" ht="15">
      <c r="A1628" s="223" t="s">
        <v>513</v>
      </c>
      <c r="B1628" s="223">
        <v>21</v>
      </c>
      <c r="C1628" s="223">
        <v>27</v>
      </c>
      <c r="D1628" s="223">
        <v>7</v>
      </c>
      <c r="E1628" s="223">
        <v>949319</v>
      </c>
    </row>
    <row r="1629" spans="1:5" ht="15">
      <c r="A1629" s="223" t="s">
        <v>513</v>
      </c>
      <c r="B1629" s="223">
        <v>21</v>
      </c>
      <c r="C1629" s="223">
        <v>27</v>
      </c>
      <c r="D1629" s="223">
        <v>8</v>
      </c>
      <c r="E1629" s="223">
        <v>3450</v>
      </c>
    </row>
    <row r="1630" spans="1:5" ht="15">
      <c r="A1630" s="223" t="s">
        <v>513</v>
      </c>
      <c r="B1630" s="223">
        <v>21</v>
      </c>
      <c r="C1630" s="223">
        <v>29</v>
      </c>
      <c r="D1630" s="223">
        <v>7</v>
      </c>
      <c r="E1630" s="223">
        <v>406000</v>
      </c>
    </row>
    <row r="1631" spans="1:5" ht="15">
      <c r="A1631" s="223" t="s">
        <v>513</v>
      </c>
      <c r="B1631" s="223">
        <v>21</v>
      </c>
      <c r="C1631" s="223">
        <v>31</v>
      </c>
      <c r="D1631" s="223">
        <v>2</v>
      </c>
      <c r="E1631" s="223">
        <v>37000</v>
      </c>
    </row>
    <row r="1632" spans="1:5" ht="15">
      <c r="A1632" s="223" t="s">
        <v>513</v>
      </c>
      <c r="B1632" s="223">
        <v>21</v>
      </c>
      <c r="C1632" s="223">
        <v>31</v>
      </c>
      <c r="D1632" s="223">
        <v>3</v>
      </c>
      <c r="E1632" s="223">
        <v>26000</v>
      </c>
    </row>
    <row r="1633" spans="1:5" ht="15">
      <c r="A1633" s="223" t="s">
        <v>513</v>
      </c>
      <c r="B1633" s="223">
        <v>21</v>
      </c>
      <c r="C1633" s="223">
        <v>31</v>
      </c>
      <c r="D1633" s="223">
        <v>4</v>
      </c>
      <c r="E1633" s="223">
        <v>13000</v>
      </c>
    </row>
    <row r="1634" spans="1:5" ht="15">
      <c r="A1634" s="223" t="s">
        <v>513</v>
      </c>
      <c r="B1634" s="223">
        <v>21</v>
      </c>
      <c r="C1634" s="223">
        <v>31</v>
      </c>
      <c r="D1634" s="223">
        <v>5</v>
      </c>
      <c r="E1634" s="223">
        <v>2000</v>
      </c>
    </row>
    <row r="1635" spans="1:5" ht="15">
      <c r="A1635" s="223" t="s">
        <v>513</v>
      </c>
      <c r="B1635" s="223">
        <v>21</v>
      </c>
      <c r="C1635" s="223">
        <v>31</v>
      </c>
      <c r="D1635" s="223">
        <v>7</v>
      </c>
      <c r="E1635" s="223">
        <v>8300</v>
      </c>
    </row>
    <row r="1636" spans="1:5" ht="15">
      <c r="A1636" s="223" t="s">
        <v>513</v>
      </c>
      <c r="B1636" s="223">
        <v>21</v>
      </c>
      <c r="C1636" s="223">
        <v>31</v>
      </c>
      <c r="D1636" s="223">
        <v>8</v>
      </c>
      <c r="E1636" s="223">
        <v>250</v>
      </c>
    </row>
    <row r="1637" spans="1:5" ht="15">
      <c r="A1637" s="223" t="s">
        <v>513</v>
      </c>
      <c r="B1637" s="223">
        <v>21</v>
      </c>
      <c r="C1637" s="223">
        <v>32</v>
      </c>
      <c r="D1637" s="223">
        <v>5</v>
      </c>
      <c r="E1637" s="223">
        <v>7000</v>
      </c>
    </row>
    <row r="1638" spans="1:5" ht="15">
      <c r="A1638" s="223" t="s">
        <v>513</v>
      </c>
      <c r="B1638" s="223">
        <v>21</v>
      </c>
      <c r="C1638" s="223">
        <v>32</v>
      </c>
      <c r="D1638" s="223">
        <v>7</v>
      </c>
      <c r="E1638" s="223">
        <v>1500</v>
      </c>
    </row>
    <row r="1639" spans="1:5" ht="15">
      <c r="A1639" s="223" t="s">
        <v>513</v>
      </c>
      <c r="B1639" s="223">
        <v>21</v>
      </c>
      <c r="C1639" s="223">
        <v>33</v>
      </c>
      <c r="D1639" s="223">
        <v>5</v>
      </c>
      <c r="E1639" s="223">
        <v>9500</v>
      </c>
    </row>
    <row r="1640" spans="1:5" ht="15">
      <c r="A1640" s="223" t="s">
        <v>513</v>
      </c>
      <c r="B1640" s="223">
        <v>21</v>
      </c>
      <c r="C1640" s="223">
        <v>34</v>
      </c>
      <c r="D1640" s="223">
        <v>2</v>
      </c>
      <c r="E1640" s="223">
        <v>214970</v>
      </c>
    </row>
    <row r="1641" spans="1:5" ht="15">
      <c r="A1641" s="223" t="s">
        <v>513</v>
      </c>
      <c r="B1641" s="223">
        <v>21</v>
      </c>
      <c r="C1641" s="223">
        <v>34</v>
      </c>
      <c r="D1641" s="223">
        <v>4</v>
      </c>
      <c r="E1641" s="223">
        <v>48025</v>
      </c>
    </row>
    <row r="1642" spans="1:5" ht="15">
      <c r="A1642" s="223" t="s">
        <v>513</v>
      </c>
      <c r="B1642" s="223">
        <v>23</v>
      </c>
      <c r="C1642" s="223">
        <v>21</v>
      </c>
      <c r="D1642" s="223">
        <v>2</v>
      </c>
      <c r="E1642" s="223">
        <v>34727</v>
      </c>
    </row>
    <row r="1643" spans="1:5" ht="15">
      <c r="A1643" s="223" t="s">
        <v>513</v>
      </c>
      <c r="B1643" s="223">
        <v>23</v>
      </c>
      <c r="C1643" s="223">
        <v>21</v>
      </c>
      <c r="D1643" s="223">
        <v>4</v>
      </c>
      <c r="E1643" s="223">
        <v>10198</v>
      </c>
    </row>
    <row r="1644" spans="1:5" ht="15">
      <c r="A1644" s="223" t="s">
        <v>513</v>
      </c>
      <c r="B1644" s="223">
        <v>23</v>
      </c>
      <c r="C1644" s="223">
        <v>27</v>
      </c>
      <c r="D1644" s="223">
        <v>2</v>
      </c>
      <c r="E1644" s="223">
        <v>204497</v>
      </c>
    </row>
    <row r="1645" spans="1:5" ht="15">
      <c r="A1645" s="223" t="s">
        <v>513</v>
      </c>
      <c r="B1645" s="223">
        <v>23</v>
      </c>
      <c r="C1645" s="223">
        <v>27</v>
      </c>
      <c r="D1645" s="223">
        <v>3</v>
      </c>
      <c r="E1645" s="223">
        <v>30239</v>
      </c>
    </row>
    <row r="1646" spans="1:5" ht="15">
      <c r="A1646" s="223" t="s">
        <v>513</v>
      </c>
      <c r="B1646" s="223">
        <v>23</v>
      </c>
      <c r="C1646" s="223">
        <v>27</v>
      </c>
      <c r="D1646" s="223">
        <v>4</v>
      </c>
      <c r="E1646" s="223">
        <v>90334</v>
      </c>
    </row>
    <row r="1647" spans="1:5" ht="15">
      <c r="A1647" s="223" t="s">
        <v>513</v>
      </c>
      <c r="B1647" s="223">
        <v>23</v>
      </c>
      <c r="C1647" s="223">
        <v>27</v>
      </c>
      <c r="D1647" s="223">
        <v>7</v>
      </c>
      <c r="E1647" s="223">
        <v>114771</v>
      </c>
    </row>
    <row r="1648" spans="1:5" ht="15">
      <c r="A1648" s="223" t="s">
        <v>513</v>
      </c>
      <c r="B1648" s="223">
        <v>24</v>
      </c>
      <c r="C1648" s="223">
        <v>21</v>
      </c>
      <c r="D1648" s="223">
        <v>3</v>
      </c>
      <c r="E1648" s="223">
        <v>114933</v>
      </c>
    </row>
    <row r="1649" spans="1:5" ht="15">
      <c r="A1649" s="223" t="s">
        <v>513</v>
      </c>
      <c r="B1649" s="223">
        <v>24</v>
      </c>
      <c r="C1649" s="223">
        <v>21</v>
      </c>
      <c r="D1649" s="223">
        <v>4</v>
      </c>
      <c r="E1649" s="223">
        <v>48122</v>
      </c>
    </row>
    <row r="1650" spans="1:5" ht="15">
      <c r="A1650" s="223" t="s">
        <v>513</v>
      </c>
      <c r="B1650" s="223">
        <v>24</v>
      </c>
      <c r="C1650" s="223">
        <v>24</v>
      </c>
      <c r="D1650" s="223">
        <v>3</v>
      </c>
      <c r="E1650" s="223">
        <v>79995</v>
      </c>
    </row>
    <row r="1651" spans="1:5" ht="15">
      <c r="A1651" s="223" t="s">
        <v>513</v>
      </c>
      <c r="B1651" s="223">
        <v>24</v>
      </c>
      <c r="C1651" s="223">
        <v>24</v>
      </c>
      <c r="D1651" s="223">
        <v>4</v>
      </c>
      <c r="E1651" s="223">
        <v>36239</v>
      </c>
    </row>
    <row r="1652" spans="1:5" ht="15">
      <c r="A1652" s="223" t="s">
        <v>513</v>
      </c>
      <c r="B1652" s="223">
        <v>24</v>
      </c>
      <c r="C1652" s="223">
        <v>26</v>
      </c>
      <c r="D1652" s="223">
        <v>2</v>
      </c>
      <c r="E1652" s="223">
        <v>2540153</v>
      </c>
    </row>
    <row r="1653" spans="1:5" ht="15">
      <c r="A1653" s="223" t="s">
        <v>513</v>
      </c>
      <c r="B1653" s="223">
        <v>24</v>
      </c>
      <c r="C1653" s="223">
        <v>26</v>
      </c>
      <c r="D1653" s="223">
        <v>4</v>
      </c>
      <c r="E1653" s="223">
        <v>833156</v>
      </c>
    </row>
    <row r="1654" spans="1:5" ht="15">
      <c r="A1654" s="223" t="s">
        <v>513</v>
      </c>
      <c r="B1654" s="223">
        <v>24</v>
      </c>
      <c r="C1654" s="223">
        <v>26</v>
      </c>
      <c r="D1654" s="223">
        <v>7</v>
      </c>
      <c r="E1654" s="223">
        <v>100000</v>
      </c>
    </row>
    <row r="1655" spans="1:5" ht="15">
      <c r="A1655" s="223" t="s">
        <v>513</v>
      </c>
      <c r="B1655" s="223">
        <v>24</v>
      </c>
      <c r="C1655" s="223">
        <v>27</v>
      </c>
      <c r="D1655" s="223">
        <v>2</v>
      </c>
      <c r="E1655" s="223">
        <v>179402</v>
      </c>
    </row>
    <row r="1656" spans="1:5" ht="15">
      <c r="A1656" s="223" t="s">
        <v>513</v>
      </c>
      <c r="B1656" s="223">
        <v>24</v>
      </c>
      <c r="C1656" s="223">
        <v>27</v>
      </c>
      <c r="D1656" s="223">
        <v>4</v>
      </c>
      <c r="E1656" s="223">
        <v>42466</v>
      </c>
    </row>
    <row r="1657" spans="1:5" ht="15">
      <c r="A1657" s="223" t="s">
        <v>513</v>
      </c>
      <c r="B1657" s="223">
        <v>24</v>
      </c>
      <c r="C1657" s="223">
        <v>27</v>
      </c>
      <c r="D1657" s="223">
        <v>7</v>
      </c>
      <c r="E1657" s="223">
        <v>375000</v>
      </c>
    </row>
    <row r="1658" spans="1:5" ht="15">
      <c r="A1658" s="223" t="s">
        <v>513</v>
      </c>
      <c r="B1658" s="223">
        <v>24</v>
      </c>
      <c r="C1658" s="223">
        <v>29</v>
      </c>
      <c r="D1658" s="223">
        <v>7</v>
      </c>
      <c r="E1658" s="223">
        <v>25000</v>
      </c>
    </row>
    <row r="1659" spans="1:5" ht="15">
      <c r="A1659" s="223" t="s">
        <v>515</v>
      </c>
      <c r="B1659" s="223">
        <v>21</v>
      </c>
      <c r="C1659" s="223">
        <v>21</v>
      </c>
      <c r="D1659" s="223">
        <v>2</v>
      </c>
      <c r="E1659" s="223">
        <v>1160581</v>
      </c>
    </row>
    <row r="1660" spans="1:5" ht="15">
      <c r="A1660" s="223" t="s">
        <v>515</v>
      </c>
      <c r="B1660" s="223">
        <v>21</v>
      </c>
      <c r="C1660" s="223">
        <v>21</v>
      </c>
      <c r="D1660" s="223">
        <v>3</v>
      </c>
      <c r="E1660" s="223">
        <v>281238</v>
      </c>
    </row>
    <row r="1661" spans="1:5" ht="15">
      <c r="A1661" s="223" t="s">
        <v>515</v>
      </c>
      <c r="B1661" s="223">
        <v>21</v>
      </c>
      <c r="C1661" s="223">
        <v>21</v>
      </c>
      <c r="D1661" s="223">
        <v>4</v>
      </c>
      <c r="E1661" s="223">
        <v>482121</v>
      </c>
    </row>
    <row r="1662" spans="1:5" ht="15">
      <c r="A1662" s="223" t="s">
        <v>515</v>
      </c>
      <c r="B1662" s="223">
        <v>21</v>
      </c>
      <c r="C1662" s="223">
        <v>21</v>
      </c>
      <c r="D1662" s="223">
        <v>5</v>
      </c>
      <c r="E1662" s="223">
        <v>7000</v>
      </c>
    </row>
    <row r="1663" spans="1:5" ht="15">
      <c r="A1663" s="223" t="s">
        <v>515</v>
      </c>
      <c r="B1663" s="223">
        <v>21</v>
      </c>
      <c r="C1663" s="223">
        <v>21</v>
      </c>
      <c r="D1663" s="223">
        <v>7</v>
      </c>
      <c r="E1663" s="223">
        <v>43975</v>
      </c>
    </row>
    <row r="1664" spans="1:5" ht="15">
      <c r="A1664" s="223" t="s">
        <v>515</v>
      </c>
      <c r="B1664" s="223">
        <v>21</v>
      </c>
      <c r="C1664" s="223">
        <v>21</v>
      </c>
      <c r="D1664" s="223">
        <v>8</v>
      </c>
      <c r="E1664" s="223">
        <v>8000</v>
      </c>
    </row>
    <row r="1665" spans="1:5" ht="15">
      <c r="A1665" s="223" t="s">
        <v>515</v>
      </c>
      <c r="B1665" s="223">
        <v>21</v>
      </c>
      <c r="C1665" s="223">
        <v>23</v>
      </c>
      <c r="D1665" s="223">
        <v>3</v>
      </c>
      <c r="E1665" s="223">
        <v>345867</v>
      </c>
    </row>
    <row r="1666" spans="1:5" ht="15">
      <c r="A1666" s="223" t="s">
        <v>515</v>
      </c>
      <c r="B1666" s="223">
        <v>21</v>
      </c>
      <c r="C1666" s="223">
        <v>23</v>
      </c>
      <c r="D1666" s="223">
        <v>4</v>
      </c>
      <c r="E1666" s="223">
        <v>195312</v>
      </c>
    </row>
    <row r="1667" spans="1:5" ht="15">
      <c r="A1667" s="223" t="s">
        <v>515</v>
      </c>
      <c r="B1667" s="223">
        <v>21</v>
      </c>
      <c r="C1667" s="223">
        <v>23</v>
      </c>
      <c r="D1667" s="223">
        <v>8</v>
      </c>
      <c r="E1667" s="223">
        <v>1000</v>
      </c>
    </row>
    <row r="1668" spans="1:5" ht="15">
      <c r="A1668" s="223" t="s">
        <v>515</v>
      </c>
      <c r="B1668" s="223">
        <v>21</v>
      </c>
      <c r="C1668" s="223">
        <v>25</v>
      </c>
      <c r="D1668" s="223">
        <v>3</v>
      </c>
      <c r="E1668" s="223">
        <v>95743</v>
      </c>
    </row>
    <row r="1669" spans="1:5" ht="15">
      <c r="A1669" s="223" t="s">
        <v>515</v>
      </c>
      <c r="B1669" s="223">
        <v>21</v>
      </c>
      <c r="C1669" s="223">
        <v>25</v>
      </c>
      <c r="D1669" s="223">
        <v>4</v>
      </c>
      <c r="E1669" s="223">
        <v>22443</v>
      </c>
    </row>
    <row r="1670" spans="1:5" ht="15">
      <c r="A1670" s="223" t="s">
        <v>515</v>
      </c>
      <c r="B1670" s="223">
        <v>21</v>
      </c>
      <c r="C1670" s="223">
        <v>26</v>
      </c>
      <c r="D1670" s="223">
        <v>2</v>
      </c>
      <c r="E1670" s="223">
        <v>8009012</v>
      </c>
    </row>
    <row r="1671" spans="1:5" ht="15">
      <c r="A1671" s="223" t="s">
        <v>515</v>
      </c>
      <c r="B1671" s="223">
        <v>21</v>
      </c>
      <c r="C1671" s="223">
        <v>26</v>
      </c>
      <c r="D1671" s="223">
        <v>3</v>
      </c>
      <c r="E1671" s="223">
        <v>476965</v>
      </c>
    </row>
    <row r="1672" spans="1:5" ht="15">
      <c r="A1672" s="223" t="s">
        <v>515</v>
      </c>
      <c r="B1672" s="223">
        <v>21</v>
      </c>
      <c r="C1672" s="223">
        <v>26</v>
      </c>
      <c r="D1672" s="223">
        <v>4</v>
      </c>
      <c r="E1672" s="223">
        <v>3076048</v>
      </c>
    </row>
    <row r="1673" spans="1:5" ht="15">
      <c r="A1673" s="223" t="s">
        <v>515</v>
      </c>
      <c r="B1673" s="223">
        <v>21</v>
      </c>
      <c r="C1673" s="223">
        <v>26</v>
      </c>
      <c r="D1673" s="223">
        <v>5</v>
      </c>
      <c r="E1673" s="223">
        <v>75500</v>
      </c>
    </row>
    <row r="1674" spans="1:5" ht="15">
      <c r="A1674" s="223" t="s">
        <v>515</v>
      </c>
      <c r="B1674" s="223">
        <v>21</v>
      </c>
      <c r="C1674" s="223">
        <v>26</v>
      </c>
      <c r="D1674" s="223">
        <v>7</v>
      </c>
      <c r="E1674" s="223">
        <v>300000</v>
      </c>
    </row>
    <row r="1675" spans="1:5" ht="15">
      <c r="A1675" s="223" t="s">
        <v>515</v>
      </c>
      <c r="B1675" s="223">
        <v>21</v>
      </c>
      <c r="C1675" s="223">
        <v>26</v>
      </c>
      <c r="D1675" s="223">
        <v>8</v>
      </c>
      <c r="E1675" s="223">
        <v>4000</v>
      </c>
    </row>
    <row r="1676" spans="1:5" ht="15">
      <c r="A1676" s="223" t="s">
        <v>515</v>
      </c>
      <c r="B1676" s="223">
        <v>21</v>
      </c>
      <c r="C1676" s="223">
        <v>27</v>
      </c>
      <c r="D1676" s="223">
        <v>2</v>
      </c>
      <c r="E1676" s="223">
        <v>16537087</v>
      </c>
    </row>
    <row r="1677" spans="1:5" ht="15">
      <c r="A1677" s="223" t="s">
        <v>515</v>
      </c>
      <c r="B1677" s="223">
        <v>21</v>
      </c>
      <c r="C1677" s="223">
        <v>27</v>
      </c>
      <c r="D1677" s="223">
        <v>3</v>
      </c>
      <c r="E1677" s="223">
        <v>8845849</v>
      </c>
    </row>
    <row r="1678" spans="1:5" ht="15">
      <c r="A1678" s="223" t="s">
        <v>515</v>
      </c>
      <c r="B1678" s="223">
        <v>21</v>
      </c>
      <c r="C1678" s="223">
        <v>27</v>
      </c>
      <c r="D1678" s="223">
        <v>4</v>
      </c>
      <c r="E1678" s="223">
        <v>11867086</v>
      </c>
    </row>
    <row r="1679" spans="1:5" ht="15">
      <c r="A1679" s="223" t="s">
        <v>515</v>
      </c>
      <c r="B1679" s="223">
        <v>21</v>
      </c>
      <c r="C1679" s="223">
        <v>27</v>
      </c>
      <c r="D1679" s="223">
        <v>5</v>
      </c>
      <c r="E1679" s="223">
        <v>48035</v>
      </c>
    </row>
    <row r="1680" spans="1:5" ht="15">
      <c r="A1680" s="223" t="s">
        <v>515</v>
      </c>
      <c r="B1680" s="223">
        <v>21</v>
      </c>
      <c r="C1680" s="223">
        <v>27</v>
      </c>
      <c r="D1680" s="223">
        <v>7</v>
      </c>
      <c r="E1680" s="223">
        <v>400000</v>
      </c>
    </row>
    <row r="1681" spans="1:5" ht="15">
      <c r="A1681" s="223" t="s">
        <v>515</v>
      </c>
      <c r="B1681" s="223">
        <v>21</v>
      </c>
      <c r="C1681" s="223">
        <v>27</v>
      </c>
      <c r="D1681" s="223">
        <v>8</v>
      </c>
      <c r="E1681" s="223">
        <v>5500</v>
      </c>
    </row>
    <row r="1682" spans="1:5" ht="15">
      <c r="A1682" s="223" t="s">
        <v>515</v>
      </c>
      <c r="B1682" s="223">
        <v>21</v>
      </c>
      <c r="C1682" s="223">
        <v>31</v>
      </c>
      <c r="D1682" s="223">
        <v>2</v>
      </c>
      <c r="E1682" s="223">
        <v>699847</v>
      </c>
    </row>
    <row r="1683" spans="1:5" ht="15">
      <c r="A1683" s="223" t="s">
        <v>515</v>
      </c>
      <c r="B1683" s="223">
        <v>21</v>
      </c>
      <c r="C1683" s="223">
        <v>31</v>
      </c>
      <c r="D1683" s="223">
        <v>4</v>
      </c>
      <c r="E1683" s="223">
        <v>201543</v>
      </c>
    </row>
    <row r="1684" spans="1:5" ht="15">
      <c r="A1684" s="223" t="s">
        <v>515</v>
      </c>
      <c r="B1684" s="223">
        <v>21</v>
      </c>
      <c r="C1684" s="223">
        <v>31</v>
      </c>
      <c r="D1684" s="223">
        <v>5</v>
      </c>
      <c r="E1684" s="223">
        <v>5000</v>
      </c>
    </row>
    <row r="1685" spans="1:5" ht="15">
      <c r="A1685" s="223" t="s">
        <v>515</v>
      </c>
      <c r="B1685" s="223">
        <v>21</v>
      </c>
      <c r="C1685" s="223">
        <v>31</v>
      </c>
      <c r="D1685" s="223">
        <v>8</v>
      </c>
      <c r="E1685" s="223">
        <v>500</v>
      </c>
    </row>
    <row r="1686" spans="1:5" ht="15">
      <c r="A1686" s="223" t="s">
        <v>515</v>
      </c>
      <c r="B1686" s="223">
        <v>21</v>
      </c>
      <c r="C1686" s="223">
        <v>32</v>
      </c>
      <c r="D1686" s="223">
        <v>5</v>
      </c>
      <c r="E1686" s="223">
        <v>125000</v>
      </c>
    </row>
    <row r="1687" spans="1:5" ht="15">
      <c r="A1687" s="223" t="s">
        <v>515</v>
      </c>
      <c r="B1687" s="223">
        <v>21</v>
      </c>
      <c r="C1687" s="223">
        <v>32</v>
      </c>
      <c r="D1687" s="223">
        <v>7</v>
      </c>
      <c r="E1687" s="223">
        <v>5000</v>
      </c>
    </row>
    <row r="1688" spans="1:5" ht="15">
      <c r="A1688" s="223" t="s">
        <v>515</v>
      </c>
      <c r="B1688" s="223">
        <v>21</v>
      </c>
      <c r="C1688" s="223">
        <v>34</v>
      </c>
      <c r="D1688" s="223">
        <v>2</v>
      </c>
      <c r="E1688" s="223">
        <v>377624</v>
      </c>
    </row>
    <row r="1689" spans="1:5" ht="15">
      <c r="A1689" s="223" t="s">
        <v>515</v>
      </c>
      <c r="B1689" s="223">
        <v>21</v>
      </c>
      <c r="C1689" s="223">
        <v>34</v>
      </c>
      <c r="D1689" s="223">
        <v>4</v>
      </c>
      <c r="E1689" s="223">
        <v>87610</v>
      </c>
    </row>
    <row r="1690" spans="1:5" ht="15">
      <c r="A1690" s="223" t="s">
        <v>515</v>
      </c>
      <c r="B1690" s="223">
        <v>23</v>
      </c>
      <c r="C1690" s="223">
        <v>27</v>
      </c>
      <c r="D1690" s="223">
        <v>3</v>
      </c>
      <c r="E1690" s="223">
        <v>537866</v>
      </c>
    </row>
    <row r="1691" spans="1:5" ht="15">
      <c r="A1691" s="223" t="s">
        <v>515</v>
      </c>
      <c r="B1691" s="223">
        <v>23</v>
      </c>
      <c r="C1691" s="223">
        <v>27</v>
      </c>
      <c r="D1691" s="223">
        <v>4</v>
      </c>
      <c r="E1691" s="223">
        <v>371629</v>
      </c>
    </row>
    <row r="1692" spans="1:5" ht="15">
      <c r="A1692" s="223" t="s">
        <v>515</v>
      </c>
      <c r="B1692" s="223">
        <v>24</v>
      </c>
      <c r="C1692" s="223">
        <v>25</v>
      </c>
      <c r="D1692" s="223">
        <v>3</v>
      </c>
      <c r="E1692" s="223">
        <v>3557</v>
      </c>
    </row>
    <row r="1693" spans="1:5" ht="15">
      <c r="A1693" s="223" t="s">
        <v>515</v>
      </c>
      <c r="B1693" s="223">
        <v>24</v>
      </c>
      <c r="C1693" s="223">
        <v>25</v>
      </c>
      <c r="D1693" s="223">
        <v>4</v>
      </c>
      <c r="E1693" s="223">
        <v>1404</v>
      </c>
    </row>
    <row r="1694" spans="1:5" ht="15">
      <c r="A1694" s="223" t="s">
        <v>515</v>
      </c>
      <c r="B1694" s="223">
        <v>24</v>
      </c>
      <c r="C1694" s="223">
        <v>27</v>
      </c>
      <c r="D1694" s="223">
        <v>3</v>
      </c>
      <c r="E1694" s="223">
        <v>3807212</v>
      </c>
    </row>
    <row r="1695" spans="1:5" ht="15">
      <c r="A1695" s="223" t="s">
        <v>515</v>
      </c>
      <c r="B1695" s="223">
        <v>24</v>
      </c>
      <c r="C1695" s="223">
        <v>27</v>
      </c>
      <c r="D1695" s="223">
        <v>4</v>
      </c>
      <c r="E1695" s="223">
        <v>2643501</v>
      </c>
    </row>
    <row r="1696" spans="1:5" ht="15">
      <c r="A1696" s="223" t="s">
        <v>516</v>
      </c>
      <c r="B1696" s="223">
        <v>21</v>
      </c>
      <c r="C1696" s="223">
        <v>21</v>
      </c>
      <c r="D1696" s="223">
        <v>2</v>
      </c>
      <c r="E1696" s="223">
        <v>10080</v>
      </c>
    </row>
    <row r="1697" spans="1:5" ht="15">
      <c r="A1697" s="223" t="s">
        <v>516</v>
      </c>
      <c r="B1697" s="223">
        <v>21</v>
      </c>
      <c r="C1697" s="223">
        <v>21</v>
      </c>
      <c r="D1697" s="223">
        <v>4</v>
      </c>
      <c r="E1697" s="223">
        <v>4268</v>
      </c>
    </row>
    <row r="1698" spans="1:5" ht="15">
      <c r="A1698" s="223" t="s">
        <v>516</v>
      </c>
      <c r="B1698" s="223">
        <v>21</v>
      </c>
      <c r="C1698" s="223">
        <v>26</v>
      </c>
      <c r="D1698" s="223">
        <v>7</v>
      </c>
      <c r="E1698" s="223">
        <v>6067</v>
      </c>
    </row>
    <row r="1699" spans="1:5" ht="15">
      <c r="A1699" s="223" t="s">
        <v>516</v>
      </c>
      <c r="B1699" s="223">
        <v>21</v>
      </c>
      <c r="C1699" s="223">
        <v>27</v>
      </c>
      <c r="D1699" s="223">
        <v>2</v>
      </c>
      <c r="E1699" s="223">
        <v>5676</v>
      </c>
    </row>
    <row r="1700" spans="1:5" ht="15">
      <c r="A1700" s="223" t="s">
        <v>516</v>
      </c>
      <c r="B1700" s="223">
        <v>21</v>
      </c>
      <c r="C1700" s="223">
        <v>27</v>
      </c>
      <c r="D1700" s="223">
        <v>3</v>
      </c>
      <c r="E1700" s="223">
        <v>3941</v>
      </c>
    </row>
    <row r="1701" spans="1:5" ht="15">
      <c r="A1701" s="223" t="s">
        <v>516</v>
      </c>
      <c r="B1701" s="223">
        <v>21</v>
      </c>
      <c r="C1701" s="223">
        <v>27</v>
      </c>
      <c r="D1701" s="223">
        <v>4</v>
      </c>
      <c r="E1701" s="223">
        <v>4715</v>
      </c>
    </row>
    <row r="1702" spans="1:5" ht="15">
      <c r="A1702" s="223" t="s">
        <v>516</v>
      </c>
      <c r="B1702" s="223">
        <v>21</v>
      </c>
      <c r="C1702" s="223">
        <v>31</v>
      </c>
      <c r="D1702" s="223">
        <v>8</v>
      </c>
      <c r="E1702" s="223">
        <v>150</v>
      </c>
    </row>
    <row r="1703" spans="1:5" ht="15">
      <c r="A1703" s="223" t="s">
        <v>516</v>
      </c>
      <c r="B1703" s="223">
        <v>24</v>
      </c>
      <c r="C1703" s="223">
        <v>26</v>
      </c>
      <c r="D1703" s="223">
        <v>7</v>
      </c>
      <c r="E1703" s="223">
        <v>14605</v>
      </c>
    </row>
    <row r="1704" spans="1:5" ht="15">
      <c r="A1704" s="223" t="s">
        <v>517</v>
      </c>
      <c r="B1704" s="223">
        <v>21</v>
      </c>
      <c r="C1704" s="223">
        <v>21</v>
      </c>
      <c r="D1704" s="223">
        <v>0</v>
      </c>
      <c r="E1704" s="223">
        <v>50</v>
      </c>
    </row>
    <row r="1705" spans="1:5" ht="15">
      <c r="A1705" s="223" t="s">
        <v>517</v>
      </c>
      <c r="B1705" s="223">
        <v>21</v>
      </c>
      <c r="C1705" s="223">
        <v>21</v>
      </c>
      <c r="D1705" s="223">
        <v>2</v>
      </c>
      <c r="E1705" s="223">
        <v>618605</v>
      </c>
    </row>
    <row r="1706" spans="1:5" ht="15">
      <c r="A1706" s="223" t="s">
        <v>517</v>
      </c>
      <c r="B1706" s="223">
        <v>21</v>
      </c>
      <c r="C1706" s="223">
        <v>21</v>
      </c>
      <c r="D1706" s="223">
        <v>3</v>
      </c>
      <c r="E1706" s="223">
        <v>401901</v>
      </c>
    </row>
    <row r="1707" spans="1:5" ht="15">
      <c r="A1707" s="223" t="s">
        <v>517</v>
      </c>
      <c r="B1707" s="223">
        <v>21</v>
      </c>
      <c r="C1707" s="223">
        <v>21</v>
      </c>
      <c r="D1707" s="223">
        <v>4</v>
      </c>
      <c r="E1707" s="223">
        <v>341079</v>
      </c>
    </row>
    <row r="1708" spans="1:5" ht="15">
      <c r="A1708" s="223" t="s">
        <v>517</v>
      </c>
      <c r="B1708" s="223">
        <v>21</v>
      </c>
      <c r="C1708" s="223">
        <v>21</v>
      </c>
      <c r="D1708" s="223">
        <v>5</v>
      </c>
      <c r="E1708" s="223">
        <v>6500</v>
      </c>
    </row>
    <row r="1709" spans="1:5" ht="15">
      <c r="A1709" s="223" t="s">
        <v>517</v>
      </c>
      <c r="B1709" s="223">
        <v>21</v>
      </c>
      <c r="C1709" s="223">
        <v>21</v>
      </c>
      <c r="D1709" s="223">
        <v>7</v>
      </c>
      <c r="E1709" s="223">
        <v>7700</v>
      </c>
    </row>
    <row r="1710" spans="1:5" ht="15">
      <c r="A1710" s="223" t="s">
        <v>517</v>
      </c>
      <c r="B1710" s="223">
        <v>21</v>
      </c>
      <c r="C1710" s="223">
        <v>21</v>
      </c>
      <c r="D1710" s="223">
        <v>8</v>
      </c>
      <c r="E1710" s="223">
        <v>4000</v>
      </c>
    </row>
    <row r="1711" spans="1:5" ht="15">
      <c r="A1711" s="223" t="s">
        <v>517</v>
      </c>
      <c r="B1711" s="223">
        <v>21</v>
      </c>
      <c r="C1711" s="223">
        <v>26</v>
      </c>
      <c r="D1711" s="223">
        <v>0</v>
      </c>
      <c r="E1711" s="223">
        <v>50</v>
      </c>
    </row>
    <row r="1712" spans="1:5" ht="15">
      <c r="A1712" s="223" t="s">
        <v>517</v>
      </c>
      <c r="B1712" s="223">
        <v>21</v>
      </c>
      <c r="C1712" s="223">
        <v>26</v>
      </c>
      <c r="D1712" s="223">
        <v>2</v>
      </c>
      <c r="E1712" s="223">
        <v>9303339</v>
      </c>
    </row>
    <row r="1713" spans="1:5" ht="15">
      <c r="A1713" s="223" t="s">
        <v>517</v>
      </c>
      <c r="B1713" s="223">
        <v>21</v>
      </c>
      <c r="C1713" s="223">
        <v>26</v>
      </c>
      <c r="D1713" s="223">
        <v>3</v>
      </c>
      <c r="E1713" s="223">
        <v>777199</v>
      </c>
    </row>
    <row r="1714" spans="1:5" ht="15">
      <c r="A1714" s="223" t="s">
        <v>517</v>
      </c>
      <c r="B1714" s="223">
        <v>21</v>
      </c>
      <c r="C1714" s="223">
        <v>26</v>
      </c>
      <c r="D1714" s="223">
        <v>4</v>
      </c>
      <c r="E1714" s="223">
        <v>3722930</v>
      </c>
    </row>
    <row r="1715" spans="1:5" ht="15">
      <c r="A1715" s="223" t="s">
        <v>517</v>
      </c>
      <c r="B1715" s="223">
        <v>21</v>
      </c>
      <c r="C1715" s="223">
        <v>26</v>
      </c>
      <c r="D1715" s="223">
        <v>5</v>
      </c>
      <c r="E1715" s="223">
        <v>157500</v>
      </c>
    </row>
    <row r="1716" spans="1:5" ht="15">
      <c r="A1716" s="223" t="s">
        <v>517</v>
      </c>
      <c r="B1716" s="223">
        <v>21</v>
      </c>
      <c r="C1716" s="223">
        <v>26</v>
      </c>
      <c r="D1716" s="223">
        <v>7</v>
      </c>
      <c r="E1716" s="223">
        <v>36700</v>
      </c>
    </row>
    <row r="1717" spans="1:5" ht="15">
      <c r="A1717" s="223" t="s">
        <v>517</v>
      </c>
      <c r="B1717" s="223">
        <v>21</v>
      </c>
      <c r="C1717" s="223">
        <v>26</v>
      </c>
      <c r="D1717" s="223">
        <v>8</v>
      </c>
      <c r="E1717" s="223">
        <v>15500</v>
      </c>
    </row>
    <row r="1718" spans="1:5" ht="15">
      <c r="A1718" s="223" t="s">
        <v>517</v>
      </c>
      <c r="B1718" s="223">
        <v>21</v>
      </c>
      <c r="C1718" s="223">
        <v>27</v>
      </c>
      <c r="D1718" s="223">
        <v>0</v>
      </c>
      <c r="E1718" s="223">
        <v>15800</v>
      </c>
    </row>
    <row r="1719" spans="1:5" ht="15">
      <c r="A1719" s="223" t="s">
        <v>517</v>
      </c>
      <c r="B1719" s="223">
        <v>21</v>
      </c>
      <c r="C1719" s="223">
        <v>27</v>
      </c>
      <c r="D1719" s="223">
        <v>2</v>
      </c>
      <c r="E1719" s="223">
        <v>12614554</v>
      </c>
    </row>
    <row r="1720" spans="1:5" ht="15">
      <c r="A1720" s="223" t="s">
        <v>517</v>
      </c>
      <c r="B1720" s="223">
        <v>21</v>
      </c>
      <c r="C1720" s="223">
        <v>27</v>
      </c>
      <c r="D1720" s="223">
        <v>3</v>
      </c>
      <c r="E1720" s="223">
        <v>9433300</v>
      </c>
    </row>
    <row r="1721" spans="1:5" ht="15">
      <c r="A1721" s="223" t="s">
        <v>517</v>
      </c>
      <c r="B1721" s="223">
        <v>21</v>
      </c>
      <c r="C1721" s="223">
        <v>27</v>
      </c>
      <c r="D1721" s="223">
        <v>4</v>
      </c>
      <c r="E1721" s="223">
        <v>10311018</v>
      </c>
    </row>
    <row r="1722" spans="1:5" ht="15">
      <c r="A1722" s="223" t="s">
        <v>517</v>
      </c>
      <c r="B1722" s="223">
        <v>21</v>
      </c>
      <c r="C1722" s="223">
        <v>27</v>
      </c>
      <c r="D1722" s="223">
        <v>5</v>
      </c>
      <c r="E1722" s="223">
        <v>53550</v>
      </c>
    </row>
    <row r="1723" spans="1:5" ht="15">
      <c r="A1723" s="223" t="s">
        <v>517</v>
      </c>
      <c r="B1723" s="223">
        <v>21</v>
      </c>
      <c r="C1723" s="223">
        <v>27</v>
      </c>
      <c r="D1723" s="223">
        <v>7</v>
      </c>
      <c r="E1723" s="223">
        <v>6563480</v>
      </c>
    </row>
    <row r="1724" spans="1:5" ht="15">
      <c r="A1724" s="223" t="s">
        <v>517</v>
      </c>
      <c r="B1724" s="223">
        <v>21</v>
      </c>
      <c r="C1724" s="223">
        <v>27</v>
      </c>
      <c r="D1724" s="223">
        <v>8</v>
      </c>
      <c r="E1724" s="223">
        <v>16600</v>
      </c>
    </row>
    <row r="1725" spans="1:5" ht="15">
      <c r="A1725" s="223" t="s">
        <v>517</v>
      </c>
      <c r="B1725" s="223">
        <v>21</v>
      </c>
      <c r="C1725" s="223">
        <v>27</v>
      </c>
      <c r="D1725" s="223">
        <v>9</v>
      </c>
      <c r="E1725" s="223">
        <v>20000</v>
      </c>
    </row>
    <row r="1726" spans="1:5" ht="15">
      <c r="A1726" s="223" t="s">
        <v>517</v>
      </c>
      <c r="B1726" s="223">
        <v>21</v>
      </c>
      <c r="C1726" s="223">
        <v>29</v>
      </c>
      <c r="D1726" s="223">
        <v>7</v>
      </c>
      <c r="E1726" s="223">
        <v>60000</v>
      </c>
    </row>
    <row r="1727" spans="1:5" ht="15">
      <c r="A1727" s="223" t="s">
        <v>517</v>
      </c>
      <c r="B1727" s="223">
        <v>21</v>
      </c>
      <c r="C1727" s="223">
        <v>31</v>
      </c>
      <c r="D1727" s="223">
        <v>2</v>
      </c>
      <c r="E1727" s="223">
        <v>625400</v>
      </c>
    </row>
    <row r="1728" spans="1:5" ht="15">
      <c r="A1728" s="223" t="s">
        <v>517</v>
      </c>
      <c r="B1728" s="223">
        <v>21</v>
      </c>
      <c r="C1728" s="223">
        <v>31</v>
      </c>
      <c r="D1728" s="223">
        <v>3</v>
      </c>
      <c r="E1728" s="223">
        <v>39500</v>
      </c>
    </row>
    <row r="1729" spans="1:5" ht="15">
      <c r="A1729" s="223" t="s">
        <v>517</v>
      </c>
      <c r="B1729" s="223">
        <v>21</v>
      </c>
      <c r="C1729" s="223">
        <v>31</v>
      </c>
      <c r="D1729" s="223">
        <v>4</v>
      </c>
      <c r="E1729" s="223">
        <v>165355</v>
      </c>
    </row>
    <row r="1730" spans="1:5" ht="15">
      <c r="A1730" s="223" t="s">
        <v>517</v>
      </c>
      <c r="B1730" s="223">
        <v>21</v>
      </c>
      <c r="C1730" s="223">
        <v>31</v>
      </c>
      <c r="D1730" s="223">
        <v>5</v>
      </c>
      <c r="E1730" s="223">
        <v>5000</v>
      </c>
    </row>
    <row r="1731" spans="1:5" ht="15">
      <c r="A1731" s="223" t="s">
        <v>517</v>
      </c>
      <c r="B1731" s="223">
        <v>21</v>
      </c>
      <c r="C1731" s="223">
        <v>31</v>
      </c>
      <c r="D1731" s="223">
        <v>7</v>
      </c>
      <c r="E1731" s="223">
        <v>43050</v>
      </c>
    </row>
    <row r="1732" spans="1:5" ht="15">
      <c r="A1732" s="223" t="s">
        <v>517</v>
      </c>
      <c r="B1732" s="223">
        <v>21</v>
      </c>
      <c r="C1732" s="223">
        <v>31</v>
      </c>
      <c r="D1732" s="223">
        <v>8</v>
      </c>
      <c r="E1732" s="223">
        <v>2000</v>
      </c>
    </row>
    <row r="1733" spans="1:5" ht="15">
      <c r="A1733" s="223" t="s">
        <v>517</v>
      </c>
      <c r="B1733" s="223">
        <v>21</v>
      </c>
      <c r="C1733" s="223">
        <v>32</v>
      </c>
      <c r="D1733" s="223">
        <v>5</v>
      </c>
      <c r="E1733" s="223">
        <v>28200</v>
      </c>
    </row>
    <row r="1734" spans="1:5" ht="15">
      <c r="A1734" s="223" t="s">
        <v>517</v>
      </c>
      <c r="B1734" s="223">
        <v>21</v>
      </c>
      <c r="C1734" s="223">
        <v>33</v>
      </c>
      <c r="D1734" s="223">
        <v>5</v>
      </c>
      <c r="E1734" s="223">
        <v>30500</v>
      </c>
    </row>
    <row r="1735" spans="1:5" ht="15">
      <c r="A1735" s="223" t="s">
        <v>517</v>
      </c>
      <c r="B1735" s="223">
        <v>21</v>
      </c>
      <c r="C1735" s="223">
        <v>33</v>
      </c>
      <c r="D1735" s="223">
        <v>7</v>
      </c>
      <c r="E1735" s="223">
        <v>49300</v>
      </c>
    </row>
    <row r="1736" spans="1:5" ht="15">
      <c r="A1736" s="223" t="s">
        <v>517</v>
      </c>
      <c r="B1736" s="223">
        <v>21</v>
      </c>
      <c r="C1736" s="223">
        <v>34</v>
      </c>
      <c r="D1736" s="223">
        <v>2</v>
      </c>
      <c r="E1736" s="223">
        <v>180000</v>
      </c>
    </row>
    <row r="1737" spans="1:5" ht="15">
      <c r="A1737" s="223" t="s">
        <v>517</v>
      </c>
      <c r="B1737" s="223">
        <v>21</v>
      </c>
      <c r="C1737" s="223">
        <v>34</v>
      </c>
      <c r="D1737" s="223">
        <v>4</v>
      </c>
      <c r="E1737" s="223">
        <v>41733</v>
      </c>
    </row>
    <row r="1738" spans="1:5" ht="15">
      <c r="A1738" s="223" t="s">
        <v>517</v>
      </c>
      <c r="B1738" s="223">
        <v>24</v>
      </c>
      <c r="C1738" s="223">
        <v>27</v>
      </c>
      <c r="D1738" s="223">
        <v>2</v>
      </c>
      <c r="E1738" s="223">
        <v>3141400</v>
      </c>
    </row>
    <row r="1739" spans="1:5" ht="15">
      <c r="A1739" s="223" t="s">
        <v>517</v>
      </c>
      <c r="B1739" s="223">
        <v>24</v>
      </c>
      <c r="C1739" s="223">
        <v>27</v>
      </c>
      <c r="D1739" s="223">
        <v>4</v>
      </c>
      <c r="E1739" s="223">
        <v>1144760</v>
      </c>
    </row>
    <row r="1740" spans="1:5" ht="15">
      <c r="A1740" s="223" t="s">
        <v>517</v>
      </c>
      <c r="B1740" s="223">
        <v>24</v>
      </c>
      <c r="C1740" s="223">
        <v>31</v>
      </c>
      <c r="D1740" s="223">
        <v>2</v>
      </c>
      <c r="E1740" s="223">
        <v>93653</v>
      </c>
    </row>
    <row r="1741" spans="1:5" ht="15">
      <c r="A1741" s="223" t="s">
        <v>517</v>
      </c>
      <c r="B1741" s="223">
        <v>24</v>
      </c>
      <c r="C1741" s="223">
        <v>31</v>
      </c>
      <c r="D1741" s="223">
        <v>4</v>
      </c>
      <c r="E1741" s="223">
        <v>21691</v>
      </c>
    </row>
    <row r="1742" spans="1:5" ht="15">
      <c r="A1742" s="223" t="s">
        <v>420</v>
      </c>
      <c r="B1742" s="223">
        <v>21</v>
      </c>
      <c r="C1742" s="223">
        <v>21</v>
      </c>
      <c r="D1742" s="223">
        <v>2</v>
      </c>
      <c r="E1742" s="223">
        <v>169643</v>
      </c>
    </row>
    <row r="1743" spans="1:5" ht="15">
      <c r="A1743" s="223" t="s">
        <v>420</v>
      </c>
      <c r="B1743" s="223">
        <v>21</v>
      </c>
      <c r="C1743" s="223">
        <v>21</v>
      </c>
      <c r="D1743" s="223">
        <v>3</v>
      </c>
      <c r="E1743" s="223">
        <v>156905</v>
      </c>
    </row>
    <row r="1744" spans="1:5" ht="15">
      <c r="A1744" s="223" t="s">
        <v>420</v>
      </c>
      <c r="B1744" s="223">
        <v>21</v>
      </c>
      <c r="C1744" s="223">
        <v>21</v>
      </c>
      <c r="D1744" s="223">
        <v>4</v>
      </c>
      <c r="E1744" s="223">
        <v>129096</v>
      </c>
    </row>
    <row r="1745" spans="1:5" ht="15">
      <c r="A1745" s="223" t="s">
        <v>420</v>
      </c>
      <c r="B1745" s="223">
        <v>21</v>
      </c>
      <c r="C1745" s="223">
        <v>21</v>
      </c>
      <c r="D1745" s="223">
        <v>5</v>
      </c>
      <c r="E1745" s="223">
        <v>4000</v>
      </c>
    </row>
    <row r="1746" spans="1:5" ht="15">
      <c r="A1746" s="223" t="s">
        <v>420</v>
      </c>
      <c r="B1746" s="223">
        <v>21</v>
      </c>
      <c r="C1746" s="223">
        <v>21</v>
      </c>
      <c r="D1746" s="223">
        <v>7</v>
      </c>
      <c r="E1746" s="223">
        <v>27600</v>
      </c>
    </row>
    <row r="1747" spans="1:5" ht="15">
      <c r="A1747" s="223" t="s">
        <v>420</v>
      </c>
      <c r="B1747" s="223">
        <v>21</v>
      </c>
      <c r="C1747" s="223">
        <v>21</v>
      </c>
      <c r="D1747" s="223">
        <v>8</v>
      </c>
      <c r="E1747" s="223">
        <v>300</v>
      </c>
    </row>
    <row r="1748" spans="1:5" ht="15">
      <c r="A1748" s="223" t="s">
        <v>420</v>
      </c>
      <c r="B1748" s="223">
        <v>21</v>
      </c>
      <c r="C1748" s="223">
        <v>25</v>
      </c>
      <c r="D1748" s="223">
        <v>3</v>
      </c>
      <c r="E1748" s="223">
        <v>16215</v>
      </c>
    </row>
    <row r="1749" spans="1:5" ht="15">
      <c r="A1749" s="223" t="s">
        <v>420</v>
      </c>
      <c r="B1749" s="223">
        <v>21</v>
      </c>
      <c r="C1749" s="223">
        <v>25</v>
      </c>
      <c r="D1749" s="223">
        <v>4</v>
      </c>
      <c r="E1749" s="223">
        <v>8487</v>
      </c>
    </row>
    <row r="1750" spans="1:5" ht="15">
      <c r="A1750" s="223" t="s">
        <v>420</v>
      </c>
      <c r="B1750" s="223">
        <v>21</v>
      </c>
      <c r="C1750" s="223">
        <v>25</v>
      </c>
      <c r="D1750" s="223">
        <v>5</v>
      </c>
      <c r="E1750" s="223">
        <v>4000</v>
      </c>
    </row>
    <row r="1751" spans="1:5" ht="15">
      <c r="A1751" s="223" t="s">
        <v>420</v>
      </c>
      <c r="B1751" s="223">
        <v>21</v>
      </c>
      <c r="C1751" s="223">
        <v>26</v>
      </c>
      <c r="D1751" s="223">
        <v>2</v>
      </c>
      <c r="E1751" s="223">
        <v>1519861</v>
      </c>
    </row>
    <row r="1752" spans="1:5" ht="15">
      <c r="A1752" s="223" t="s">
        <v>420</v>
      </c>
      <c r="B1752" s="223">
        <v>21</v>
      </c>
      <c r="C1752" s="223">
        <v>26</v>
      </c>
      <c r="D1752" s="223">
        <v>4</v>
      </c>
      <c r="E1752" s="223">
        <v>581110</v>
      </c>
    </row>
    <row r="1753" spans="1:5" ht="15">
      <c r="A1753" s="223" t="s">
        <v>420</v>
      </c>
      <c r="B1753" s="223">
        <v>21</v>
      </c>
      <c r="C1753" s="223">
        <v>26</v>
      </c>
      <c r="D1753" s="223">
        <v>5</v>
      </c>
      <c r="E1753" s="223">
        <v>20000</v>
      </c>
    </row>
    <row r="1754" spans="1:5" ht="15">
      <c r="A1754" s="223" t="s">
        <v>420</v>
      </c>
      <c r="B1754" s="223">
        <v>21</v>
      </c>
      <c r="C1754" s="223">
        <v>26</v>
      </c>
      <c r="D1754" s="223">
        <v>7</v>
      </c>
      <c r="E1754" s="223">
        <v>100</v>
      </c>
    </row>
    <row r="1755" spans="1:5" ht="15">
      <c r="A1755" s="223" t="s">
        <v>420</v>
      </c>
      <c r="B1755" s="223">
        <v>21</v>
      </c>
      <c r="C1755" s="223">
        <v>26</v>
      </c>
      <c r="D1755" s="223">
        <v>8</v>
      </c>
      <c r="E1755" s="223">
        <v>1000</v>
      </c>
    </row>
    <row r="1756" spans="1:5" ht="15">
      <c r="A1756" s="223" t="s">
        <v>420</v>
      </c>
      <c r="B1756" s="223">
        <v>21</v>
      </c>
      <c r="C1756" s="223">
        <v>27</v>
      </c>
      <c r="D1756" s="223">
        <v>0</v>
      </c>
      <c r="E1756" s="223">
        <v>5000</v>
      </c>
    </row>
    <row r="1757" spans="1:5" ht="15">
      <c r="A1757" s="223" t="s">
        <v>420</v>
      </c>
      <c r="B1757" s="223">
        <v>21</v>
      </c>
      <c r="C1757" s="223">
        <v>27</v>
      </c>
      <c r="D1757" s="223">
        <v>2</v>
      </c>
      <c r="E1757" s="223">
        <v>3200133</v>
      </c>
    </row>
    <row r="1758" spans="1:5" ht="15">
      <c r="A1758" s="223" t="s">
        <v>420</v>
      </c>
      <c r="B1758" s="223">
        <v>21</v>
      </c>
      <c r="C1758" s="223">
        <v>27</v>
      </c>
      <c r="D1758" s="223">
        <v>3</v>
      </c>
      <c r="E1758" s="223">
        <v>1927658</v>
      </c>
    </row>
    <row r="1759" spans="1:5" ht="15">
      <c r="A1759" s="223" t="s">
        <v>420</v>
      </c>
      <c r="B1759" s="223">
        <v>21</v>
      </c>
      <c r="C1759" s="223">
        <v>27</v>
      </c>
      <c r="D1759" s="223">
        <v>4</v>
      </c>
      <c r="E1759" s="223">
        <v>2453640</v>
      </c>
    </row>
    <row r="1760" spans="1:5" ht="15">
      <c r="A1760" s="223" t="s">
        <v>420</v>
      </c>
      <c r="B1760" s="223">
        <v>21</v>
      </c>
      <c r="C1760" s="223">
        <v>27</v>
      </c>
      <c r="D1760" s="223">
        <v>5</v>
      </c>
      <c r="E1760" s="223">
        <v>58266</v>
      </c>
    </row>
    <row r="1761" spans="1:5" ht="15">
      <c r="A1761" s="223" t="s">
        <v>420</v>
      </c>
      <c r="B1761" s="223">
        <v>21</v>
      </c>
      <c r="C1761" s="223">
        <v>27</v>
      </c>
      <c r="D1761" s="223">
        <v>7</v>
      </c>
      <c r="E1761" s="223">
        <v>817000</v>
      </c>
    </row>
    <row r="1762" spans="1:5" ht="15">
      <c r="A1762" s="223" t="s">
        <v>420</v>
      </c>
      <c r="B1762" s="223">
        <v>21</v>
      </c>
      <c r="C1762" s="223">
        <v>27</v>
      </c>
      <c r="D1762" s="223">
        <v>8</v>
      </c>
      <c r="E1762" s="223">
        <v>2000</v>
      </c>
    </row>
    <row r="1763" spans="1:5" ht="15">
      <c r="A1763" s="223" t="s">
        <v>420</v>
      </c>
      <c r="B1763" s="223">
        <v>21</v>
      </c>
      <c r="C1763" s="223">
        <v>28</v>
      </c>
      <c r="D1763" s="223">
        <v>2</v>
      </c>
      <c r="E1763" s="223">
        <v>1500</v>
      </c>
    </row>
    <row r="1764" spans="1:5" ht="15">
      <c r="A1764" s="223" t="s">
        <v>420</v>
      </c>
      <c r="B1764" s="223">
        <v>21</v>
      </c>
      <c r="C1764" s="223">
        <v>28</v>
      </c>
      <c r="D1764" s="223">
        <v>4</v>
      </c>
      <c r="E1764" s="223">
        <v>300</v>
      </c>
    </row>
    <row r="1765" spans="1:5" ht="15">
      <c r="A1765" s="223" t="s">
        <v>420</v>
      </c>
      <c r="B1765" s="223">
        <v>21</v>
      </c>
      <c r="C1765" s="223">
        <v>31</v>
      </c>
      <c r="D1765" s="223">
        <v>2</v>
      </c>
      <c r="E1765" s="223">
        <v>3000</v>
      </c>
    </row>
    <row r="1766" spans="1:5" ht="15">
      <c r="A1766" s="223" t="s">
        <v>420</v>
      </c>
      <c r="B1766" s="223">
        <v>21</v>
      </c>
      <c r="C1766" s="223">
        <v>31</v>
      </c>
      <c r="D1766" s="223">
        <v>3</v>
      </c>
      <c r="E1766" s="223">
        <v>3000</v>
      </c>
    </row>
    <row r="1767" spans="1:5" ht="15">
      <c r="A1767" s="223" t="s">
        <v>420</v>
      </c>
      <c r="B1767" s="223">
        <v>21</v>
      </c>
      <c r="C1767" s="223">
        <v>31</v>
      </c>
      <c r="D1767" s="223">
        <v>4</v>
      </c>
      <c r="E1767" s="223">
        <v>1200</v>
      </c>
    </row>
    <row r="1768" spans="1:5" ht="15">
      <c r="A1768" s="223" t="s">
        <v>420</v>
      </c>
      <c r="B1768" s="223">
        <v>21</v>
      </c>
      <c r="C1768" s="223">
        <v>31</v>
      </c>
      <c r="D1768" s="223">
        <v>7</v>
      </c>
      <c r="E1768" s="223">
        <v>22600</v>
      </c>
    </row>
    <row r="1769" spans="1:5" ht="15">
      <c r="A1769" s="223" t="s">
        <v>420</v>
      </c>
      <c r="B1769" s="223">
        <v>21</v>
      </c>
      <c r="C1769" s="223">
        <v>31</v>
      </c>
      <c r="D1769" s="223">
        <v>8</v>
      </c>
      <c r="E1769" s="223">
        <v>1500</v>
      </c>
    </row>
    <row r="1770" spans="1:5" ht="15">
      <c r="A1770" s="223" t="s">
        <v>420</v>
      </c>
      <c r="B1770" s="223">
        <v>21</v>
      </c>
      <c r="C1770" s="223">
        <v>32</v>
      </c>
      <c r="D1770" s="223">
        <v>5</v>
      </c>
      <c r="E1770" s="223">
        <v>5000</v>
      </c>
    </row>
    <row r="1771" spans="1:5" ht="15">
      <c r="A1771" s="223" t="s">
        <v>420</v>
      </c>
      <c r="B1771" s="223">
        <v>21</v>
      </c>
      <c r="C1771" s="223">
        <v>33</v>
      </c>
      <c r="D1771" s="223">
        <v>5</v>
      </c>
      <c r="E1771" s="223">
        <v>23000</v>
      </c>
    </row>
    <row r="1772" spans="1:5" ht="15">
      <c r="A1772" s="223" t="s">
        <v>420</v>
      </c>
      <c r="B1772" s="223">
        <v>21</v>
      </c>
      <c r="C1772" s="223">
        <v>33</v>
      </c>
      <c r="D1772" s="223">
        <v>7</v>
      </c>
      <c r="E1772" s="223">
        <v>6000</v>
      </c>
    </row>
    <row r="1773" spans="1:5" ht="15">
      <c r="A1773" s="223" t="s">
        <v>420</v>
      </c>
      <c r="B1773" s="223">
        <v>21</v>
      </c>
      <c r="C1773" s="223">
        <v>34</v>
      </c>
      <c r="D1773" s="223">
        <v>2</v>
      </c>
      <c r="E1773" s="223">
        <v>74</v>
      </c>
    </row>
    <row r="1774" spans="1:5" ht="15">
      <c r="A1774" s="223" t="s">
        <v>420</v>
      </c>
      <c r="B1774" s="223">
        <v>21</v>
      </c>
      <c r="C1774" s="223">
        <v>34</v>
      </c>
      <c r="D1774" s="223">
        <v>4</v>
      </c>
      <c r="E1774" s="223">
        <v>16</v>
      </c>
    </row>
    <row r="1775" spans="1:5" ht="15">
      <c r="A1775" s="223" t="s">
        <v>420</v>
      </c>
      <c r="B1775" s="223">
        <v>24</v>
      </c>
      <c r="C1775" s="223">
        <v>25</v>
      </c>
      <c r="D1775" s="223">
        <v>3</v>
      </c>
      <c r="E1775" s="223">
        <v>2453</v>
      </c>
    </row>
    <row r="1776" spans="1:5" ht="15">
      <c r="A1776" s="223" t="s">
        <v>420</v>
      </c>
      <c r="B1776" s="223">
        <v>24</v>
      </c>
      <c r="C1776" s="223">
        <v>25</v>
      </c>
      <c r="D1776" s="223">
        <v>4</v>
      </c>
      <c r="E1776" s="223">
        <v>1513</v>
      </c>
    </row>
    <row r="1777" spans="1:5" ht="15">
      <c r="A1777" s="223" t="s">
        <v>420</v>
      </c>
      <c r="B1777" s="223">
        <v>24</v>
      </c>
      <c r="C1777" s="223">
        <v>27</v>
      </c>
      <c r="D1777" s="223">
        <v>3</v>
      </c>
      <c r="E1777" s="223">
        <v>473914</v>
      </c>
    </row>
    <row r="1778" spans="1:5" ht="15">
      <c r="A1778" s="223" t="s">
        <v>420</v>
      </c>
      <c r="B1778" s="223">
        <v>24</v>
      </c>
      <c r="C1778" s="223">
        <v>27</v>
      </c>
      <c r="D1778" s="223">
        <v>4</v>
      </c>
      <c r="E1778" s="223">
        <v>301377</v>
      </c>
    </row>
    <row r="1779" spans="1:5" ht="15">
      <c r="A1779" s="223" t="s">
        <v>420</v>
      </c>
      <c r="B1779" s="223">
        <v>24</v>
      </c>
      <c r="C1779" s="223">
        <v>27</v>
      </c>
      <c r="D1779" s="223">
        <v>5</v>
      </c>
      <c r="E1779" s="223">
        <v>4581</v>
      </c>
    </row>
    <row r="1780" spans="1:5" ht="15">
      <c r="A1780" s="223" t="s">
        <v>420</v>
      </c>
      <c r="B1780" s="223">
        <v>24</v>
      </c>
      <c r="C1780" s="223">
        <v>31</v>
      </c>
      <c r="D1780" s="223">
        <v>5</v>
      </c>
      <c r="E1780" s="223">
        <v>43921</v>
      </c>
    </row>
    <row r="1781" spans="1:5" ht="15">
      <c r="A1781" s="223" t="s">
        <v>420</v>
      </c>
      <c r="B1781" s="223">
        <v>24</v>
      </c>
      <c r="C1781" s="223">
        <v>31</v>
      </c>
      <c r="D1781" s="223">
        <v>7</v>
      </c>
      <c r="E1781" s="223">
        <v>177180</v>
      </c>
    </row>
    <row r="1782" spans="1:5" ht="15">
      <c r="A1782" s="223" t="s">
        <v>420</v>
      </c>
      <c r="B1782" s="223">
        <v>29</v>
      </c>
      <c r="C1782" s="223">
        <v>27</v>
      </c>
      <c r="D1782" s="223">
        <v>3</v>
      </c>
      <c r="E1782" s="223">
        <v>55667</v>
      </c>
    </row>
    <row r="1783" spans="1:5" ht="15">
      <c r="A1783" s="223" t="s">
        <v>420</v>
      </c>
      <c r="B1783" s="223">
        <v>29</v>
      </c>
      <c r="C1783" s="223">
        <v>27</v>
      </c>
      <c r="D1783" s="223">
        <v>4</v>
      </c>
      <c r="E1783" s="223">
        <v>37216</v>
      </c>
    </row>
    <row r="1784" spans="1:5" ht="15">
      <c r="A1784" s="223" t="s">
        <v>422</v>
      </c>
      <c r="B1784" s="223">
        <v>21</v>
      </c>
      <c r="C1784" s="223">
        <v>21</v>
      </c>
      <c r="D1784" s="223">
        <v>2</v>
      </c>
      <c r="E1784" s="223">
        <v>282494</v>
      </c>
    </row>
    <row r="1785" spans="1:5" ht="15">
      <c r="A1785" s="223" t="s">
        <v>422</v>
      </c>
      <c r="B1785" s="223">
        <v>21</v>
      </c>
      <c r="C1785" s="223">
        <v>21</v>
      </c>
      <c r="D1785" s="223">
        <v>3</v>
      </c>
      <c r="E1785" s="223">
        <v>72019</v>
      </c>
    </row>
    <row r="1786" spans="1:5" ht="15">
      <c r="A1786" s="223" t="s">
        <v>422</v>
      </c>
      <c r="B1786" s="223">
        <v>21</v>
      </c>
      <c r="C1786" s="223">
        <v>21</v>
      </c>
      <c r="D1786" s="223">
        <v>4</v>
      </c>
      <c r="E1786" s="223">
        <v>108999</v>
      </c>
    </row>
    <row r="1787" spans="1:5" ht="15">
      <c r="A1787" s="223" t="s">
        <v>422</v>
      </c>
      <c r="B1787" s="223">
        <v>21</v>
      </c>
      <c r="C1787" s="223">
        <v>21</v>
      </c>
      <c r="D1787" s="223">
        <v>5</v>
      </c>
      <c r="E1787" s="223">
        <v>2900</v>
      </c>
    </row>
    <row r="1788" spans="1:5" ht="15">
      <c r="A1788" s="223" t="s">
        <v>422</v>
      </c>
      <c r="B1788" s="223">
        <v>21</v>
      </c>
      <c r="C1788" s="223">
        <v>21</v>
      </c>
      <c r="D1788" s="223">
        <v>7</v>
      </c>
      <c r="E1788" s="223">
        <v>16000</v>
      </c>
    </row>
    <row r="1789" spans="1:5" ht="15">
      <c r="A1789" s="223" t="s">
        <v>422</v>
      </c>
      <c r="B1789" s="223">
        <v>21</v>
      </c>
      <c r="C1789" s="223">
        <v>25</v>
      </c>
      <c r="D1789" s="223">
        <v>3</v>
      </c>
      <c r="E1789" s="223">
        <v>126370</v>
      </c>
    </row>
    <row r="1790" spans="1:5" ht="15">
      <c r="A1790" s="223" t="s">
        <v>422</v>
      </c>
      <c r="B1790" s="223">
        <v>21</v>
      </c>
      <c r="C1790" s="223">
        <v>25</v>
      </c>
      <c r="D1790" s="223">
        <v>4</v>
      </c>
      <c r="E1790" s="223">
        <v>88057</v>
      </c>
    </row>
    <row r="1791" spans="1:5" ht="15">
      <c r="A1791" s="223" t="s">
        <v>422</v>
      </c>
      <c r="B1791" s="223">
        <v>21</v>
      </c>
      <c r="C1791" s="223">
        <v>26</v>
      </c>
      <c r="D1791" s="223">
        <v>2</v>
      </c>
      <c r="E1791" s="223">
        <v>1445391</v>
      </c>
    </row>
    <row r="1792" spans="1:5" ht="15">
      <c r="A1792" s="223" t="s">
        <v>422</v>
      </c>
      <c r="B1792" s="223">
        <v>21</v>
      </c>
      <c r="C1792" s="223">
        <v>26</v>
      </c>
      <c r="D1792" s="223">
        <v>3</v>
      </c>
      <c r="E1792" s="223">
        <v>52139</v>
      </c>
    </row>
    <row r="1793" spans="1:5" ht="15">
      <c r="A1793" s="223" t="s">
        <v>422</v>
      </c>
      <c r="B1793" s="223">
        <v>21</v>
      </c>
      <c r="C1793" s="223">
        <v>26</v>
      </c>
      <c r="D1793" s="223">
        <v>4</v>
      </c>
      <c r="E1793" s="223">
        <v>523286</v>
      </c>
    </row>
    <row r="1794" spans="1:5" ht="15">
      <c r="A1794" s="223" t="s">
        <v>422</v>
      </c>
      <c r="B1794" s="223">
        <v>21</v>
      </c>
      <c r="C1794" s="223">
        <v>26</v>
      </c>
      <c r="D1794" s="223">
        <v>5</v>
      </c>
      <c r="E1794" s="223">
        <v>29000</v>
      </c>
    </row>
    <row r="1795" spans="1:5" ht="15">
      <c r="A1795" s="223" t="s">
        <v>422</v>
      </c>
      <c r="B1795" s="223">
        <v>21</v>
      </c>
      <c r="C1795" s="223">
        <v>26</v>
      </c>
      <c r="D1795" s="223">
        <v>7</v>
      </c>
      <c r="E1795" s="223">
        <v>52100</v>
      </c>
    </row>
    <row r="1796" spans="1:5" ht="15">
      <c r="A1796" s="223" t="s">
        <v>422</v>
      </c>
      <c r="B1796" s="223">
        <v>21</v>
      </c>
      <c r="C1796" s="223">
        <v>26</v>
      </c>
      <c r="D1796" s="223">
        <v>8</v>
      </c>
      <c r="E1796" s="223">
        <v>250</v>
      </c>
    </row>
    <row r="1797" spans="1:5" ht="15">
      <c r="A1797" s="223" t="s">
        <v>422</v>
      </c>
      <c r="B1797" s="223">
        <v>21</v>
      </c>
      <c r="C1797" s="223">
        <v>27</v>
      </c>
      <c r="D1797" s="223">
        <v>0</v>
      </c>
      <c r="E1797" s="223">
        <v>200</v>
      </c>
    </row>
    <row r="1798" spans="1:5" ht="15">
      <c r="A1798" s="223" t="s">
        <v>422</v>
      </c>
      <c r="B1798" s="223">
        <v>21</v>
      </c>
      <c r="C1798" s="223">
        <v>27</v>
      </c>
      <c r="D1798" s="223">
        <v>2</v>
      </c>
      <c r="E1798" s="223">
        <v>2316905</v>
      </c>
    </row>
    <row r="1799" spans="1:5" ht="15">
      <c r="A1799" s="223" t="s">
        <v>422</v>
      </c>
      <c r="B1799" s="223">
        <v>21</v>
      </c>
      <c r="C1799" s="223">
        <v>27</v>
      </c>
      <c r="D1799" s="223">
        <v>3</v>
      </c>
      <c r="E1799" s="223">
        <v>1365917</v>
      </c>
    </row>
    <row r="1800" spans="1:5" ht="15">
      <c r="A1800" s="223" t="s">
        <v>422</v>
      </c>
      <c r="B1800" s="223">
        <v>21</v>
      </c>
      <c r="C1800" s="223">
        <v>27</v>
      </c>
      <c r="D1800" s="223">
        <v>4</v>
      </c>
      <c r="E1800" s="223">
        <v>1622742</v>
      </c>
    </row>
    <row r="1801" spans="1:5" ht="15">
      <c r="A1801" s="223" t="s">
        <v>422</v>
      </c>
      <c r="B1801" s="223">
        <v>21</v>
      </c>
      <c r="C1801" s="223">
        <v>27</v>
      </c>
      <c r="D1801" s="223">
        <v>5</v>
      </c>
      <c r="E1801" s="223">
        <v>27000</v>
      </c>
    </row>
    <row r="1802" spans="1:5" ht="15">
      <c r="A1802" s="223" t="s">
        <v>422</v>
      </c>
      <c r="B1802" s="223">
        <v>21</v>
      </c>
      <c r="C1802" s="223">
        <v>27</v>
      </c>
      <c r="D1802" s="223">
        <v>7</v>
      </c>
      <c r="E1802" s="223">
        <v>372519</v>
      </c>
    </row>
    <row r="1803" spans="1:5" ht="15">
      <c r="A1803" s="223" t="s">
        <v>422</v>
      </c>
      <c r="B1803" s="223">
        <v>21</v>
      </c>
      <c r="C1803" s="223">
        <v>29</v>
      </c>
      <c r="D1803" s="223">
        <v>7</v>
      </c>
      <c r="E1803" s="223">
        <v>150000</v>
      </c>
    </row>
    <row r="1804" spans="1:5" ht="15">
      <c r="A1804" s="223" t="s">
        <v>422</v>
      </c>
      <c r="B1804" s="223">
        <v>21</v>
      </c>
      <c r="C1804" s="223">
        <v>31</v>
      </c>
      <c r="D1804" s="223">
        <v>2</v>
      </c>
      <c r="E1804" s="223">
        <v>5502</v>
      </c>
    </row>
    <row r="1805" spans="1:5" ht="15">
      <c r="A1805" s="223" t="s">
        <v>422</v>
      </c>
      <c r="B1805" s="223">
        <v>21</v>
      </c>
      <c r="C1805" s="223">
        <v>31</v>
      </c>
      <c r="D1805" s="223">
        <v>3</v>
      </c>
      <c r="E1805" s="223">
        <v>2018</v>
      </c>
    </row>
    <row r="1806" spans="1:5" ht="15">
      <c r="A1806" s="223" t="s">
        <v>422</v>
      </c>
      <c r="B1806" s="223">
        <v>21</v>
      </c>
      <c r="C1806" s="223">
        <v>31</v>
      </c>
      <c r="D1806" s="223">
        <v>4</v>
      </c>
      <c r="E1806" s="223">
        <v>1602</v>
      </c>
    </row>
    <row r="1807" spans="1:5" ht="15">
      <c r="A1807" s="223" t="s">
        <v>422</v>
      </c>
      <c r="B1807" s="223">
        <v>21</v>
      </c>
      <c r="C1807" s="223">
        <v>31</v>
      </c>
      <c r="D1807" s="223">
        <v>5</v>
      </c>
      <c r="E1807" s="223">
        <v>700</v>
      </c>
    </row>
    <row r="1808" spans="1:5" ht="15">
      <c r="A1808" s="223" t="s">
        <v>422</v>
      </c>
      <c r="B1808" s="223">
        <v>21</v>
      </c>
      <c r="C1808" s="223">
        <v>31</v>
      </c>
      <c r="D1808" s="223">
        <v>7</v>
      </c>
      <c r="E1808" s="223">
        <v>5500</v>
      </c>
    </row>
    <row r="1809" spans="1:5" ht="15">
      <c r="A1809" s="223" t="s">
        <v>422</v>
      </c>
      <c r="B1809" s="223">
        <v>21</v>
      </c>
      <c r="C1809" s="223">
        <v>31</v>
      </c>
      <c r="D1809" s="223">
        <v>8</v>
      </c>
      <c r="E1809" s="223">
        <v>1000</v>
      </c>
    </row>
    <row r="1810" spans="1:5" ht="15">
      <c r="A1810" s="223" t="s">
        <v>422</v>
      </c>
      <c r="B1810" s="223">
        <v>21</v>
      </c>
      <c r="C1810" s="223">
        <v>33</v>
      </c>
      <c r="D1810" s="223">
        <v>5</v>
      </c>
      <c r="E1810" s="223">
        <v>15000</v>
      </c>
    </row>
    <row r="1811" spans="1:5" ht="15">
      <c r="A1811" s="223" t="s">
        <v>422</v>
      </c>
      <c r="B1811" s="223">
        <v>23</v>
      </c>
      <c r="C1811" s="223">
        <v>27</v>
      </c>
      <c r="D1811" s="223">
        <v>3</v>
      </c>
      <c r="E1811" s="223">
        <v>30740</v>
      </c>
    </row>
    <row r="1812" spans="1:5" ht="15">
      <c r="A1812" s="223" t="s">
        <v>422</v>
      </c>
      <c r="B1812" s="223">
        <v>23</v>
      </c>
      <c r="C1812" s="223">
        <v>27</v>
      </c>
      <c r="D1812" s="223">
        <v>4</v>
      </c>
      <c r="E1812" s="223">
        <v>18632</v>
      </c>
    </row>
    <row r="1813" spans="1:5" ht="15">
      <c r="A1813" s="223" t="s">
        <v>422</v>
      </c>
      <c r="B1813" s="223">
        <v>24</v>
      </c>
      <c r="C1813" s="223">
        <v>27</v>
      </c>
      <c r="D1813" s="223">
        <v>2</v>
      </c>
      <c r="E1813" s="223">
        <v>284401</v>
      </c>
    </row>
    <row r="1814" spans="1:5" ht="15">
      <c r="A1814" s="223" t="s">
        <v>422</v>
      </c>
      <c r="B1814" s="223">
        <v>24</v>
      </c>
      <c r="C1814" s="223">
        <v>27</v>
      </c>
      <c r="D1814" s="223">
        <v>3</v>
      </c>
      <c r="E1814" s="223">
        <v>243169</v>
      </c>
    </row>
    <row r="1815" spans="1:5" ht="15">
      <c r="A1815" s="223" t="s">
        <v>422</v>
      </c>
      <c r="B1815" s="223">
        <v>24</v>
      </c>
      <c r="C1815" s="223">
        <v>27</v>
      </c>
      <c r="D1815" s="223">
        <v>4</v>
      </c>
      <c r="E1815" s="223">
        <v>247092</v>
      </c>
    </row>
    <row r="1816" spans="1:5" ht="15">
      <c r="A1816" s="223" t="s">
        <v>422</v>
      </c>
      <c r="B1816" s="223">
        <v>24</v>
      </c>
      <c r="C1816" s="223">
        <v>27</v>
      </c>
      <c r="D1816" s="223">
        <v>5</v>
      </c>
      <c r="E1816" s="223">
        <v>210</v>
      </c>
    </row>
    <row r="1817" spans="1:5" ht="15">
      <c r="A1817" s="223" t="s">
        <v>424</v>
      </c>
      <c r="B1817" s="223">
        <v>21</v>
      </c>
      <c r="C1817" s="223">
        <v>21</v>
      </c>
      <c r="D1817" s="223">
        <v>2</v>
      </c>
      <c r="E1817" s="223">
        <v>70153</v>
      </c>
    </row>
    <row r="1818" spans="1:5" ht="15">
      <c r="A1818" s="223" t="s">
        <v>424</v>
      </c>
      <c r="B1818" s="223">
        <v>21</v>
      </c>
      <c r="C1818" s="223">
        <v>21</v>
      </c>
      <c r="D1818" s="223">
        <v>3</v>
      </c>
      <c r="E1818" s="223">
        <v>14255</v>
      </c>
    </row>
    <row r="1819" spans="1:5" ht="15">
      <c r="A1819" s="223" t="s">
        <v>424</v>
      </c>
      <c r="B1819" s="223">
        <v>21</v>
      </c>
      <c r="C1819" s="223">
        <v>21</v>
      </c>
      <c r="D1819" s="223">
        <v>4</v>
      </c>
      <c r="E1819" s="223">
        <v>33960</v>
      </c>
    </row>
    <row r="1820" spans="1:5" ht="15">
      <c r="A1820" s="223" t="s">
        <v>424</v>
      </c>
      <c r="B1820" s="223">
        <v>21</v>
      </c>
      <c r="C1820" s="223">
        <v>26</v>
      </c>
      <c r="D1820" s="223">
        <v>2</v>
      </c>
      <c r="E1820" s="223">
        <v>96812</v>
      </c>
    </row>
    <row r="1821" spans="1:5" ht="15">
      <c r="A1821" s="223" t="s">
        <v>424</v>
      </c>
      <c r="B1821" s="223">
        <v>21</v>
      </c>
      <c r="C1821" s="223">
        <v>26</v>
      </c>
      <c r="D1821" s="223">
        <v>3</v>
      </c>
      <c r="E1821" s="223">
        <v>18154</v>
      </c>
    </row>
    <row r="1822" spans="1:5" ht="15">
      <c r="A1822" s="223" t="s">
        <v>424</v>
      </c>
      <c r="B1822" s="223">
        <v>21</v>
      </c>
      <c r="C1822" s="223">
        <v>26</v>
      </c>
      <c r="D1822" s="223">
        <v>4</v>
      </c>
      <c r="E1822" s="223">
        <v>50078</v>
      </c>
    </row>
    <row r="1823" spans="1:5" ht="15">
      <c r="A1823" s="223" t="s">
        <v>424</v>
      </c>
      <c r="B1823" s="223">
        <v>21</v>
      </c>
      <c r="C1823" s="223">
        <v>27</v>
      </c>
      <c r="D1823" s="223">
        <v>2</v>
      </c>
      <c r="E1823" s="223">
        <v>381417</v>
      </c>
    </row>
    <row r="1824" spans="1:5" ht="15">
      <c r="A1824" s="223" t="s">
        <v>424</v>
      </c>
      <c r="B1824" s="223">
        <v>21</v>
      </c>
      <c r="C1824" s="223">
        <v>27</v>
      </c>
      <c r="D1824" s="223">
        <v>3</v>
      </c>
      <c r="E1824" s="223">
        <v>128353</v>
      </c>
    </row>
    <row r="1825" spans="1:5" ht="15">
      <c r="A1825" s="223" t="s">
        <v>424</v>
      </c>
      <c r="B1825" s="223">
        <v>21</v>
      </c>
      <c r="C1825" s="223">
        <v>27</v>
      </c>
      <c r="D1825" s="223">
        <v>4</v>
      </c>
      <c r="E1825" s="223">
        <v>233356</v>
      </c>
    </row>
    <row r="1826" spans="1:5" ht="15">
      <c r="A1826" s="223" t="s">
        <v>424</v>
      </c>
      <c r="B1826" s="223">
        <v>21</v>
      </c>
      <c r="C1826" s="223">
        <v>27</v>
      </c>
      <c r="D1826" s="223">
        <v>7</v>
      </c>
      <c r="E1826" s="223">
        <v>250000</v>
      </c>
    </row>
    <row r="1827" spans="1:5" ht="15">
      <c r="A1827" s="223" t="s">
        <v>424</v>
      </c>
      <c r="B1827" s="223">
        <v>24</v>
      </c>
      <c r="C1827" s="223">
        <v>27</v>
      </c>
      <c r="D1827" s="223">
        <v>2</v>
      </c>
      <c r="E1827" s="223">
        <v>1000</v>
      </c>
    </row>
    <row r="1828" spans="1:5" ht="15">
      <c r="A1828" s="223" t="s">
        <v>424</v>
      </c>
      <c r="B1828" s="223">
        <v>24</v>
      </c>
      <c r="C1828" s="223">
        <v>27</v>
      </c>
      <c r="D1828" s="223">
        <v>3</v>
      </c>
      <c r="E1828" s="223">
        <v>80360</v>
      </c>
    </row>
    <row r="1829" spans="1:5" ht="15">
      <c r="A1829" s="223" t="s">
        <v>424</v>
      </c>
      <c r="B1829" s="223">
        <v>24</v>
      </c>
      <c r="C1829" s="223">
        <v>27</v>
      </c>
      <c r="D1829" s="223">
        <v>4</v>
      </c>
      <c r="E1829" s="223">
        <v>49783</v>
      </c>
    </row>
    <row r="1830" spans="1:5" ht="15">
      <c r="A1830" s="223" t="s">
        <v>424</v>
      </c>
      <c r="B1830" s="223">
        <v>24</v>
      </c>
      <c r="C1830" s="223">
        <v>27</v>
      </c>
      <c r="D1830" s="223">
        <v>5</v>
      </c>
      <c r="E1830" s="223">
        <v>98541</v>
      </c>
    </row>
    <row r="1831" spans="1:5" ht="15">
      <c r="A1831" s="223" t="s">
        <v>426</v>
      </c>
      <c r="B1831" s="223">
        <v>21</v>
      </c>
      <c r="C1831" s="223">
        <v>21</v>
      </c>
      <c r="D1831" s="223">
        <v>2</v>
      </c>
      <c r="E1831" s="223">
        <v>398159</v>
      </c>
    </row>
    <row r="1832" spans="1:5" ht="15">
      <c r="A1832" s="223" t="s">
        <v>426</v>
      </c>
      <c r="B1832" s="223">
        <v>21</v>
      </c>
      <c r="C1832" s="223">
        <v>21</v>
      </c>
      <c r="D1832" s="223">
        <v>3</v>
      </c>
      <c r="E1832" s="223">
        <v>129958</v>
      </c>
    </row>
    <row r="1833" spans="1:5" ht="15">
      <c r="A1833" s="223" t="s">
        <v>426</v>
      </c>
      <c r="B1833" s="223">
        <v>21</v>
      </c>
      <c r="C1833" s="223">
        <v>21</v>
      </c>
      <c r="D1833" s="223">
        <v>4</v>
      </c>
      <c r="E1833" s="223">
        <v>175037</v>
      </c>
    </row>
    <row r="1834" spans="1:5" ht="15">
      <c r="A1834" s="223" t="s">
        <v>426</v>
      </c>
      <c r="B1834" s="223">
        <v>21</v>
      </c>
      <c r="C1834" s="223">
        <v>21</v>
      </c>
      <c r="D1834" s="223">
        <v>5</v>
      </c>
      <c r="E1834" s="223">
        <v>11000</v>
      </c>
    </row>
    <row r="1835" spans="1:5" ht="15">
      <c r="A1835" s="223" t="s">
        <v>426</v>
      </c>
      <c r="B1835" s="223">
        <v>21</v>
      </c>
      <c r="C1835" s="223">
        <v>21</v>
      </c>
      <c r="D1835" s="223">
        <v>7</v>
      </c>
      <c r="E1835" s="223">
        <v>4350</v>
      </c>
    </row>
    <row r="1836" spans="1:5" ht="15">
      <c r="A1836" s="223" t="s">
        <v>426</v>
      </c>
      <c r="B1836" s="223">
        <v>21</v>
      </c>
      <c r="C1836" s="223">
        <v>21</v>
      </c>
      <c r="D1836" s="223">
        <v>8</v>
      </c>
      <c r="E1836" s="223">
        <v>8000</v>
      </c>
    </row>
    <row r="1837" spans="1:5" ht="15">
      <c r="A1837" s="223" t="s">
        <v>426</v>
      </c>
      <c r="B1837" s="223">
        <v>21</v>
      </c>
      <c r="C1837" s="223">
        <v>24</v>
      </c>
      <c r="D1837" s="223">
        <v>2</v>
      </c>
      <c r="E1837" s="223">
        <v>471757</v>
      </c>
    </row>
    <row r="1838" spans="1:5" ht="15">
      <c r="A1838" s="223" t="s">
        <v>426</v>
      </c>
      <c r="B1838" s="223">
        <v>21</v>
      </c>
      <c r="C1838" s="223">
        <v>24</v>
      </c>
      <c r="D1838" s="223">
        <v>4</v>
      </c>
      <c r="E1838" s="223">
        <v>173585</v>
      </c>
    </row>
    <row r="1839" spans="1:5" ht="15">
      <c r="A1839" s="223" t="s">
        <v>426</v>
      </c>
      <c r="B1839" s="223">
        <v>21</v>
      </c>
      <c r="C1839" s="223">
        <v>26</v>
      </c>
      <c r="D1839" s="223">
        <v>2</v>
      </c>
      <c r="E1839" s="223">
        <v>3599378</v>
      </c>
    </row>
    <row r="1840" spans="1:5" ht="15">
      <c r="A1840" s="223" t="s">
        <v>426</v>
      </c>
      <c r="B1840" s="223">
        <v>21</v>
      </c>
      <c r="C1840" s="223">
        <v>26</v>
      </c>
      <c r="D1840" s="223">
        <v>3</v>
      </c>
      <c r="E1840" s="223">
        <v>82781</v>
      </c>
    </row>
    <row r="1841" spans="1:5" ht="15">
      <c r="A1841" s="223" t="s">
        <v>426</v>
      </c>
      <c r="B1841" s="223">
        <v>21</v>
      </c>
      <c r="C1841" s="223">
        <v>26</v>
      </c>
      <c r="D1841" s="223">
        <v>4</v>
      </c>
      <c r="E1841" s="223">
        <v>1366582</v>
      </c>
    </row>
    <row r="1842" spans="1:5" ht="15">
      <c r="A1842" s="223" t="s">
        <v>426</v>
      </c>
      <c r="B1842" s="223">
        <v>21</v>
      </c>
      <c r="C1842" s="223">
        <v>26</v>
      </c>
      <c r="D1842" s="223">
        <v>5</v>
      </c>
      <c r="E1842" s="223">
        <v>33250</v>
      </c>
    </row>
    <row r="1843" spans="1:5" ht="15">
      <c r="A1843" s="223" t="s">
        <v>426</v>
      </c>
      <c r="B1843" s="223">
        <v>21</v>
      </c>
      <c r="C1843" s="223">
        <v>26</v>
      </c>
      <c r="D1843" s="223">
        <v>7</v>
      </c>
      <c r="E1843" s="223">
        <v>260000</v>
      </c>
    </row>
    <row r="1844" spans="1:5" ht="15">
      <c r="A1844" s="223" t="s">
        <v>426</v>
      </c>
      <c r="B1844" s="223">
        <v>21</v>
      </c>
      <c r="C1844" s="223">
        <v>26</v>
      </c>
      <c r="D1844" s="223">
        <v>8</v>
      </c>
      <c r="E1844" s="223">
        <v>3500</v>
      </c>
    </row>
    <row r="1845" spans="1:5" ht="15">
      <c r="A1845" s="223" t="s">
        <v>426</v>
      </c>
      <c r="B1845" s="223">
        <v>21</v>
      </c>
      <c r="C1845" s="223">
        <v>27</v>
      </c>
      <c r="D1845" s="223">
        <v>2</v>
      </c>
      <c r="E1845" s="223">
        <v>5112823</v>
      </c>
    </row>
    <row r="1846" spans="1:5" ht="15">
      <c r="A1846" s="223" t="s">
        <v>426</v>
      </c>
      <c r="B1846" s="223">
        <v>21</v>
      </c>
      <c r="C1846" s="223">
        <v>27</v>
      </c>
      <c r="D1846" s="223">
        <v>3</v>
      </c>
      <c r="E1846" s="223">
        <v>3808951</v>
      </c>
    </row>
    <row r="1847" spans="1:5" ht="15">
      <c r="A1847" s="223" t="s">
        <v>426</v>
      </c>
      <c r="B1847" s="223">
        <v>21</v>
      </c>
      <c r="C1847" s="223">
        <v>27</v>
      </c>
      <c r="D1847" s="223">
        <v>4</v>
      </c>
      <c r="E1847" s="223">
        <v>4324779</v>
      </c>
    </row>
    <row r="1848" spans="1:5" ht="15">
      <c r="A1848" s="223" t="s">
        <v>426</v>
      </c>
      <c r="B1848" s="223">
        <v>21</v>
      </c>
      <c r="C1848" s="223">
        <v>27</v>
      </c>
      <c r="D1848" s="223">
        <v>5</v>
      </c>
      <c r="E1848" s="223">
        <v>157750</v>
      </c>
    </row>
    <row r="1849" spans="1:5" ht="15">
      <c r="A1849" s="223" t="s">
        <v>426</v>
      </c>
      <c r="B1849" s="223">
        <v>21</v>
      </c>
      <c r="C1849" s="223">
        <v>27</v>
      </c>
      <c r="D1849" s="223">
        <v>7</v>
      </c>
      <c r="E1849" s="223">
        <v>145250</v>
      </c>
    </row>
    <row r="1850" spans="1:5" ht="15">
      <c r="A1850" s="223" t="s">
        <v>426</v>
      </c>
      <c r="B1850" s="223">
        <v>21</v>
      </c>
      <c r="C1850" s="223">
        <v>27</v>
      </c>
      <c r="D1850" s="223">
        <v>8</v>
      </c>
      <c r="E1850" s="223">
        <v>600</v>
      </c>
    </row>
    <row r="1851" spans="1:5" ht="15">
      <c r="A1851" s="223" t="s">
        <v>426</v>
      </c>
      <c r="B1851" s="223">
        <v>21</v>
      </c>
      <c r="C1851" s="223">
        <v>31</v>
      </c>
      <c r="D1851" s="223">
        <v>2</v>
      </c>
      <c r="E1851" s="223">
        <v>767896</v>
      </c>
    </row>
    <row r="1852" spans="1:5" ht="15">
      <c r="A1852" s="223" t="s">
        <v>426</v>
      </c>
      <c r="B1852" s="223">
        <v>21</v>
      </c>
      <c r="C1852" s="223">
        <v>31</v>
      </c>
      <c r="D1852" s="223">
        <v>4</v>
      </c>
      <c r="E1852" s="223">
        <v>241590</v>
      </c>
    </row>
    <row r="1853" spans="1:5" ht="15">
      <c r="A1853" s="223" t="s">
        <v>426</v>
      </c>
      <c r="B1853" s="223">
        <v>21</v>
      </c>
      <c r="C1853" s="223">
        <v>31</v>
      </c>
      <c r="D1853" s="223">
        <v>5</v>
      </c>
      <c r="E1853" s="223">
        <v>2500</v>
      </c>
    </row>
    <row r="1854" spans="1:5" ht="15">
      <c r="A1854" s="223" t="s">
        <v>426</v>
      </c>
      <c r="B1854" s="223">
        <v>21</v>
      </c>
      <c r="C1854" s="223">
        <v>31</v>
      </c>
      <c r="D1854" s="223">
        <v>7</v>
      </c>
      <c r="E1854" s="223">
        <v>15000</v>
      </c>
    </row>
    <row r="1855" spans="1:5" ht="15">
      <c r="A1855" s="223" t="s">
        <v>426</v>
      </c>
      <c r="B1855" s="223">
        <v>21</v>
      </c>
      <c r="C1855" s="223">
        <v>31</v>
      </c>
      <c r="D1855" s="223">
        <v>8</v>
      </c>
      <c r="E1855" s="223">
        <v>10000</v>
      </c>
    </row>
    <row r="1856" spans="1:5" ht="15">
      <c r="A1856" s="223" t="s">
        <v>426</v>
      </c>
      <c r="B1856" s="223">
        <v>24</v>
      </c>
      <c r="C1856" s="223">
        <v>26</v>
      </c>
      <c r="D1856" s="223">
        <v>2</v>
      </c>
      <c r="E1856" s="223">
        <v>5600</v>
      </c>
    </row>
    <row r="1857" spans="1:5" ht="15">
      <c r="A1857" s="223" t="s">
        <v>426</v>
      </c>
      <c r="B1857" s="223">
        <v>24</v>
      </c>
      <c r="C1857" s="223">
        <v>26</v>
      </c>
      <c r="D1857" s="223">
        <v>4</v>
      </c>
      <c r="E1857" s="223">
        <v>1288</v>
      </c>
    </row>
    <row r="1858" spans="1:5" ht="15">
      <c r="A1858" s="223" t="s">
        <v>426</v>
      </c>
      <c r="B1858" s="223">
        <v>24</v>
      </c>
      <c r="C1858" s="223">
        <v>26</v>
      </c>
      <c r="D1858" s="223">
        <v>7</v>
      </c>
      <c r="E1858" s="223">
        <v>825000</v>
      </c>
    </row>
    <row r="1859" spans="1:5" ht="15">
      <c r="A1859" s="223" t="s">
        <v>426</v>
      </c>
      <c r="B1859" s="223">
        <v>24</v>
      </c>
      <c r="C1859" s="223">
        <v>27</v>
      </c>
      <c r="D1859" s="223">
        <v>3</v>
      </c>
      <c r="E1859" s="223">
        <v>65536</v>
      </c>
    </row>
    <row r="1860" spans="1:5" ht="15">
      <c r="A1860" s="223" t="s">
        <v>426</v>
      </c>
      <c r="B1860" s="223">
        <v>24</v>
      </c>
      <c r="C1860" s="223">
        <v>27</v>
      </c>
      <c r="D1860" s="223">
        <v>4</v>
      </c>
      <c r="E1860" s="223">
        <v>39733</v>
      </c>
    </row>
    <row r="1861" spans="1:5" ht="15">
      <c r="A1861" s="223" t="s">
        <v>426</v>
      </c>
      <c r="B1861" s="223">
        <v>24</v>
      </c>
      <c r="C1861" s="223">
        <v>27</v>
      </c>
      <c r="D1861" s="223">
        <v>7</v>
      </c>
      <c r="E1861" s="223">
        <v>1115000</v>
      </c>
    </row>
    <row r="1862" spans="1:5" ht="15">
      <c r="A1862" s="223" t="s">
        <v>428</v>
      </c>
      <c r="B1862" s="223">
        <v>21</v>
      </c>
      <c r="C1862" s="223">
        <v>21</v>
      </c>
      <c r="D1862" s="223">
        <v>2</v>
      </c>
      <c r="E1862" s="223">
        <v>106266</v>
      </c>
    </row>
    <row r="1863" spans="1:5" ht="15">
      <c r="A1863" s="223" t="s">
        <v>428</v>
      </c>
      <c r="B1863" s="223">
        <v>21</v>
      </c>
      <c r="C1863" s="223">
        <v>21</v>
      </c>
      <c r="D1863" s="223">
        <v>4</v>
      </c>
      <c r="E1863" s="223">
        <v>36687</v>
      </c>
    </row>
    <row r="1864" spans="1:5" ht="15">
      <c r="A1864" s="223" t="s">
        <v>428</v>
      </c>
      <c r="B1864" s="223">
        <v>21</v>
      </c>
      <c r="C1864" s="223">
        <v>21</v>
      </c>
      <c r="D1864" s="223">
        <v>5</v>
      </c>
      <c r="E1864" s="223">
        <v>10000</v>
      </c>
    </row>
    <row r="1865" spans="1:5" ht="15">
      <c r="A1865" s="223" t="s">
        <v>428</v>
      </c>
      <c r="B1865" s="223">
        <v>21</v>
      </c>
      <c r="C1865" s="223">
        <v>23</v>
      </c>
      <c r="D1865" s="223">
        <v>3</v>
      </c>
      <c r="E1865" s="223">
        <v>26435</v>
      </c>
    </row>
    <row r="1866" spans="1:5" ht="15">
      <c r="A1866" s="223" t="s">
        <v>428</v>
      </c>
      <c r="B1866" s="223">
        <v>21</v>
      </c>
      <c r="C1866" s="223">
        <v>23</v>
      </c>
      <c r="D1866" s="223">
        <v>4</v>
      </c>
      <c r="E1866" s="223">
        <v>15954</v>
      </c>
    </row>
    <row r="1867" spans="1:5" ht="15">
      <c r="A1867" s="223" t="s">
        <v>428</v>
      </c>
      <c r="B1867" s="223">
        <v>21</v>
      </c>
      <c r="C1867" s="223">
        <v>26</v>
      </c>
      <c r="D1867" s="223">
        <v>2</v>
      </c>
      <c r="E1867" s="223">
        <v>62331</v>
      </c>
    </row>
    <row r="1868" spans="1:5" ht="15">
      <c r="A1868" s="223" t="s">
        <v>428</v>
      </c>
      <c r="B1868" s="223">
        <v>21</v>
      </c>
      <c r="C1868" s="223">
        <v>26</v>
      </c>
      <c r="D1868" s="223">
        <v>4</v>
      </c>
      <c r="E1868" s="223">
        <v>26732</v>
      </c>
    </row>
    <row r="1869" spans="1:5" ht="15">
      <c r="A1869" s="223" t="s">
        <v>428</v>
      </c>
      <c r="B1869" s="223">
        <v>21</v>
      </c>
      <c r="C1869" s="223">
        <v>26</v>
      </c>
      <c r="D1869" s="223">
        <v>5</v>
      </c>
      <c r="E1869" s="223">
        <v>300</v>
      </c>
    </row>
    <row r="1870" spans="1:5" ht="15">
      <c r="A1870" s="223" t="s">
        <v>428</v>
      </c>
      <c r="B1870" s="223">
        <v>21</v>
      </c>
      <c r="C1870" s="223">
        <v>26</v>
      </c>
      <c r="D1870" s="223">
        <v>7</v>
      </c>
      <c r="E1870" s="223">
        <v>150500</v>
      </c>
    </row>
    <row r="1871" spans="1:5" ht="15">
      <c r="A1871" s="223" t="s">
        <v>428</v>
      </c>
      <c r="B1871" s="223">
        <v>21</v>
      </c>
      <c r="C1871" s="223">
        <v>27</v>
      </c>
      <c r="D1871" s="223">
        <v>2</v>
      </c>
      <c r="E1871" s="223">
        <v>363813</v>
      </c>
    </row>
    <row r="1872" spans="1:5" ht="15">
      <c r="A1872" s="223" t="s">
        <v>428</v>
      </c>
      <c r="B1872" s="223">
        <v>21</v>
      </c>
      <c r="C1872" s="223">
        <v>27</v>
      </c>
      <c r="D1872" s="223">
        <v>3</v>
      </c>
      <c r="E1872" s="223">
        <v>217022</v>
      </c>
    </row>
    <row r="1873" spans="1:5" ht="15">
      <c r="A1873" s="223" t="s">
        <v>428</v>
      </c>
      <c r="B1873" s="223">
        <v>21</v>
      </c>
      <c r="C1873" s="223">
        <v>27</v>
      </c>
      <c r="D1873" s="223">
        <v>4</v>
      </c>
      <c r="E1873" s="223">
        <v>331307</v>
      </c>
    </row>
    <row r="1874" spans="1:5" ht="15">
      <c r="A1874" s="223" t="s">
        <v>428</v>
      </c>
      <c r="B1874" s="223">
        <v>21</v>
      </c>
      <c r="C1874" s="223">
        <v>27</v>
      </c>
      <c r="D1874" s="223">
        <v>5</v>
      </c>
      <c r="E1874" s="223">
        <v>1500</v>
      </c>
    </row>
    <row r="1875" spans="1:5" ht="15">
      <c r="A1875" s="223" t="s">
        <v>428</v>
      </c>
      <c r="B1875" s="223">
        <v>21</v>
      </c>
      <c r="C1875" s="223">
        <v>27</v>
      </c>
      <c r="D1875" s="223">
        <v>7</v>
      </c>
      <c r="E1875" s="223">
        <v>2750</v>
      </c>
    </row>
    <row r="1876" spans="1:5" ht="15">
      <c r="A1876" s="223" t="s">
        <v>428</v>
      </c>
      <c r="B1876" s="223">
        <v>21</v>
      </c>
      <c r="C1876" s="223">
        <v>31</v>
      </c>
      <c r="D1876" s="223">
        <v>7</v>
      </c>
      <c r="E1876" s="223">
        <v>500</v>
      </c>
    </row>
    <row r="1877" spans="1:5" ht="15">
      <c r="A1877" s="223" t="s">
        <v>428</v>
      </c>
      <c r="B1877" s="223">
        <v>21</v>
      </c>
      <c r="C1877" s="223">
        <v>32</v>
      </c>
      <c r="D1877" s="223">
        <v>7</v>
      </c>
      <c r="E1877" s="223">
        <v>1500</v>
      </c>
    </row>
    <row r="1878" spans="1:5" ht="15">
      <c r="A1878" s="223" t="s">
        <v>428</v>
      </c>
      <c r="B1878" s="223">
        <v>24</v>
      </c>
      <c r="C1878" s="223">
        <v>27</v>
      </c>
      <c r="D1878" s="223">
        <v>2</v>
      </c>
      <c r="E1878" s="223">
        <v>57973</v>
      </c>
    </row>
    <row r="1879" spans="1:5" ht="15">
      <c r="A1879" s="223" t="s">
        <v>428</v>
      </c>
      <c r="B1879" s="223">
        <v>24</v>
      </c>
      <c r="C1879" s="223">
        <v>27</v>
      </c>
      <c r="D1879" s="223">
        <v>3</v>
      </c>
      <c r="E1879" s="223">
        <v>46066</v>
      </c>
    </row>
    <row r="1880" spans="1:5" ht="15">
      <c r="A1880" s="223" t="s">
        <v>428</v>
      </c>
      <c r="B1880" s="223">
        <v>24</v>
      </c>
      <c r="C1880" s="223">
        <v>27</v>
      </c>
      <c r="D1880" s="223">
        <v>4</v>
      </c>
      <c r="E1880" s="223">
        <v>59355</v>
      </c>
    </row>
    <row r="1881" spans="1:5" ht="15">
      <c r="A1881" s="223" t="s">
        <v>428</v>
      </c>
      <c r="B1881" s="223">
        <v>24</v>
      </c>
      <c r="C1881" s="223">
        <v>27</v>
      </c>
      <c r="D1881" s="223">
        <v>5</v>
      </c>
      <c r="E1881" s="223">
        <v>100</v>
      </c>
    </row>
    <row r="1882" spans="1:5" ht="15">
      <c r="A1882" s="223" t="s">
        <v>430</v>
      </c>
      <c r="B1882" s="223">
        <v>21</v>
      </c>
      <c r="C1882" s="223">
        <v>27</v>
      </c>
      <c r="D1882" s="223">
        <v>2</v>
      </c>
      <c r="E1882" s="223">
        <v>61522</v>
      </c>
    </row>
    <row r="1883" spans="1:5" ht="15">
      <c r="A1883" s="223" t="s">
        <v>430</v>
      </c>
      <c r="B1883" s="223">
        <v>21</v>
      </c>
      <c r="C1883" s="223">
        <v>27</v>
      </c>
      <c r="D1883" s="223">
        <v>3</v>
      </c>
      <c r="E1883" s="223">
        <v>30867</v>
      </c>
    </row>
    <row r="1884" spans="1:5" ht="15">
      <c r="A1884" s="223" t="s">
        <v>430</v>
      </c>
      <c r="B1884" s="223">
        <v>21</v>
      </c>
      <c r="C1884" s="223">
        <v>27</v>
      </c>
      <c r="D1884" s="223">
        <v>4</v>
      </c>
      <c r="E1884" s="223">
        <v>50006</v>
      </c>
    </row>
    <row r="1885" spans="1:5" ht="15">
      <c r="A1885" s="223" t="s">
        <v>430</v>
      </c>
      <c r="B1885" s="223">
        <v>21</v>
      </c>
      <c r="C1885" s="223">
        <v>27</v>
      </c>
      <c r="D1885" s="223">
        <v>5</v>
      </c>
      <c r="E1885" s="223">
        <v>4000</v>
      </c>
    </row>
    <row r="1886" spans="1:5" ht="15">
      <c r="A1886" s="223" t="s">
        <v>430</v>
      </c>
      <c r="B1886" s="223">
        <v>21</v>
      </c>
      <c r="C1886" s="223">
        <v>27</v>
      </c>
      <c r="D1886" s="223">
        <v>7</v>
      </c>
      <c r="E1886" s="223">
        <v>400</v>
      </c>
    </row>
    <row r="1887" spans="1:5" ht="15">
      <c r="A1887" s="223" t="s">
        <v>430</v>
      </c>
      <c r="B1887" s="223">
        <v>21</v>
      </c>
      <c r="C1887" s="223">
        <v>27</v>
      </c>
      <c r="D1887" s="223">
        <v>8</v>
      </c>
      <c r="E1887" s="223">
        <v>2000</v>
      </c>
    </row>
    <row r="1888" spans="1:5" ht="15">
      <c r="A1888" s="223" t="s">
        <v>430</v>
      </c>
      <c r="B1888" s="223">
        <v>24</v>
      </c>
      <c r="C1888" s="223">
        <v>26</v>
      </c>
      <c r="D1888" s="223">
        <v>7</v>
      </c>
      <c r="E1888" s="223">
        <v>32116</v>
      </c>
    </row>
    <row r="1889" spans="1:5" ht="15">
      <c r="A1889" s="223" t="s">
        <v>432</v>
      </c>
      <c r="B1889" s="223">
        <v>21</v>
      </c>
      <c r="C1889" s="223">
        <v>29</v>
      </c>
      <c r="D1889" s="223">
        <v>7</v>
      </c>
      <c r="E1889" s="223">
        <v>71108</v>
      </c>
    </row>
    <row r="1890" spans="1:5" ht="15">
      <c r="A1890" s="223" t="s">
        <v>434</v>
      </c>
      <c r="B1890" s="223">
        <v>21</v>
      </c>
      <c r="C1890" s="223">
        <v>27</v>
      </c>
      <c r="D1890" s="223">
        <v>7</v>
      </c>
      <c r="E1890" s="223">
        <v>3420496</v>
      </c>
    </row>
    <row r="1891" spans="1:5" ht="15">
      <c r="A1891" s="223" t="s">
        <v>436</v>
      </c>
      <c r="B1891" s="223">
        <v>21</v>
      </c>
      <c r="C1891" s="223">
        <v>21</v>
      </c>
      <c r="D1891" s="223">
        <v>2</v>
      </c>
      <c r="E1891" s="223">
        <v>58575</v>
      </c>
    </row>
    <row r="1892" spans="1:5" ht="15">
      <c r="A1892" s="223" t="s">
        <v>436</v>
      </c>
      <c r="B1892" s="223">
        <v>21</v>
      </c>
      <c r="C1892" s="223">
        <v>21</v>
      </c>
      <c r="D1892" s="223">
        <v>4</v>
      </c>
      <c r="E1892" s="223">
        <v>23496</v>
      </c>
    </row>
    <row r="1893" spans="1:5" ht="15">
      <c r="A1893" s="223" t="s">
        <v>436</v>
      </c>
      <c r="B1893" s="223">
        <v>21</v>
      </c>
      <c r="C1893" s="223">
        <v>21</v>
      </c>
      <c r="D1893" s="223">
        <v>5</v>
      </c>
      <c r="E1893" s="223">
        <v>125</v>
      </c>
    </row>
    <row r="1894" spans="1:5" ht="15">
      <c r="A1894" s="223" t="s">
        <v>436</v>
      </c>
      <c r="B1894" s="223">
        <v>21</v>
      </c>
      <c r="C1894" s="223">
        <v>21</v>
      </c>
      <c r="D1894" s="223">
        <v>8</v>
      </c>
      <c r="E1894" s="223">
        <v>800</v>
      </c>
    </row>
    <row r="1895" spans="1:5" ht="15">
      <c r="A1895" s="223" t="s">
        <v>436</v>
      </c>
      <c r="B1895" s="223">
        <v>21</v>
      </c>
      <c r="C1895" s="223">
        <v>26</v>
      </c>
      <c r="D1895" s="223">
        <v>5</v>
      </c>
      <c r="E1895" s="223">
        <v>700</v>
      </c>
    </row>
    <row r="1896" spans="1:5" ht="15">
      <c r="A1896" s="223" t="s">
        <v>436</v>
      </c>
      <c r="B1896" s="223">
        <v>21</v>
      </c>
      <c r="C1896" s="223">
        <v>26</v>
      </c>
      <c r="D1896" s="223">
        <v>7</v>
      </c>
      <c r="E1896" s="223">
        <v>258000</v>
      </c>
    </row>
    <row r="1897" spans="1:5" ht="15">
      <c r="A1897" s="223" t="s">
        <v>436</v>
      </c>
      <c r="B1897" s="223">
        <v>21</v>
      </c>
      <c r="C1897" s="223">
        <v>27</v>
      </c>
      <c r="D1897" s="223">
        <v>2</v>
      </c>
      <c r="E1897" s="223">
        <v>119666</v>
      </c>
    </row>
    <row r="1898" spans="1:5" ht="15">
      <c r="A1898" s="223" t="s">
        <v>436</v>
      </c>
      <c r="B1898" s="223">
        <v>21</v>
      </c>
      <c r="C1898" s="223">
        <v>27</v>
      </c>
      <c r="D1898" s="223">
        <v>3</v>
      </c>
      <c r="E1898" s="223">
        <v>435305</v>
      </c>
    </row>
    <row r="1899" spans="1:5" ht="15">
      <c r="A1899" s="223" t="s">
        <v>436</v>
      </c>
      <c r="B1899" s="223">
        <v>21</v>
      </c>
      <c r="C1899" s="223">
        <v>27</v>
      </c>
      <c r="D1899" s="223">
        <v>4</v>
      </c>
      <c r="E1899" s="223">
        <v>331030</v>
      </c>
    </row>
    <row r="1900" spans="1:5" ht="15">
      <c r="A1900" s="223" t="s">
        <v>436</v>
      </c>
      <c r="B1900" s="223">
        <v>21</v>
      </c>
      <c r="C1900" s="223">
        <v>27</v>
      </c>
      <c r="D1900" s="223">
        <v>5</v>
      </c>
      <c r="E1900" s="223">
        <v>4000</v>
      </c>
    </row>
    <row r="1901" spans="1:5" ht="15">
      <c r="A1901" s="223" t="s">
        <v>436</v>
      </c>
      <c r="B1901" s="223">
        <v>21</v>
      </c>
      <c r="C1901" s="223">
        <v>28</v>
      </c>
      <c r="D1901" s="223">
        <v>3</v>
      </c>
      <c r="E1901" s="223">
        <v>7635</v>
      </c>
    </row>
    <row r="1902" spans="1:5" ht="15">
      <c r="A1902" s="223" t="s">
        <v>436</v>
      </c>
      <c r="B1902" s="223">
        <v>21</v>
      </c>
      <c r="C1902" s="223">
        <v>28</v>
      </c>
      <c r="D1902" s="223">
        <v>4</v>
      </c>
      <c r="E1902" s="223">
        <v>2176</v>
      </c>
    </row>
    <row r="1903" spans="1:5" ht="15">
      <c r="A1903" s="223" t="s">
        <v>436</v>
      </c>
      <c r="B1903" s="223">
        <v>21</v>
      </c>
      <c r="C1903" s="223">
        <v>31</v>
      </c>
      <c r="D1903" s="223">
        <v>2</v>
      </c>
      <c r="E1903" s="223">
        <v>1488</v>
      </c>
    </row>
    <row r="1904" spans="1:5" ht="15">
      <c r="A1904" s="223" t="s">
        <v>436</v>
      </c>
      <c r="B1904" s="223">
        <v>21</v>
      </c>
      <c r="C1904" s="223">
        <v>31</v>
      </c>
      <c r="D1904" s="223">
        <v>4</v>
      </c>
      <c r="E1904" s="223">
        <v>346</v>
      </c>
    </row>
    <row r="1905" spans="1:5" ht="15">
      <c r="A1905" s="223" t="s">
        <v>436</v>
      </c>
      <c r="B1905" s="223">
        <v>21</v>
      </c>
      <c r="C1905" s="223">
        <v>31</v>
      </c>
      <c r="D1905" s="223">
        <v>7</v>
      </c>
      <c r="E1905" s="223">
        <v>1500</v>
      </c>
    </row>
    <row r="1906" spans="1:5" ht="15">
      <c r="A1906" s="223" t="s">
        <v>436</v>
      </c>
      <c r="B1906" s="223">
        <v>21</v>
      </c>
      <c r="C1906" s="223">
        <v>31</v>
      </c>
      <c r="D1906" s="223">
        <v>8</v>
      </c>
      <c r="E1906" s="223">
        <v>600</v>
      </c>
    </row>
    <row r="1907" spans="1:5" ht="15">
      <c r="A1907" s="223" t="s">
        <v>436</v>
      </c>
      <c r="B1907" s="223">
        <v>21</v>
      </c>
      <c r="C1907" s="223">
        <v>34</v>
      </c>
      <c r="D1907" s="223">
        <v>2</v>
      </c>
      <c r="E1907" s="223">
        <v>1488</v>
      </c>
    </row>
    <row r="1908" spans="1:5" ht="15">
      <c r="A1908" s="223" t="s">
        <v>436</v>
      </c>
      <c r="B1908" s="223">
        <v>21</v>
      </c>
      <c r="C1908" s="223">
        <v>34</v>
      </c>
      <c r="D1908" s="223">
        <v>4</v>
      </c>
      <c r="E1908" s="223">
        <v>346</v>
      </c>
    </row>
    <row r="1909" spans="1:5" ht="15">
      <c r="A1909" s="223" t="s">
        <v>436</v>
      </c>
      <c r="B1909" s="223">
        <v>24</v>
      </c>
      <c r="C1909" s="223">
        <v>26</v>
      </c>
      <c r="D1909" s="223">
        <v>7</v>
      </c>
      <c r="E1909" s="223">
        <v>5797</v>
      </c>
    </row>
    <row r="1910" spans="1:5" ht="15">
      <c r="A1910" s="223" t="s">
        <v>436</v>
      </c>
      <c r="B1910" s="223">
        <v>24</v>
      </c>
      <c r="C1910" s="223">
        <v>27</v>
      </c>
      <c r="D1910" s="223">
        <v>2</v>
      </c>
      <c r="E1910" s="223">
        <v>115887</v>
      </c>
    </row>
    <row r="1911" spans="1:5" ht="15">
      <c r="A1911" s="223" t="s">
        <v>436</v>
      </c>
      <c r="B1911" s="223">
        <v>24</v>
      </c>
      <c r="C1911" s="223">
        <v>27</v>
      </c>
      <c r="D1911" s="223">
        <v>4</v>
      </c>
      <c r="E1911" s="223">
        <v>47912</v>
      </c>
    </row>
    <row r="1912" spans="1:5" ht="15">
      <c r="A1912" s="223" t="s">
        <v>436</v>
      </c>
      <c r="B1912" s="223">
        <v>29</v>
      </c>
      <c r="C1912" s="223">
        <v>21</v>
      </c>
      <c r="D1912" s="223">
        <v>2</v>
      </c>
      <c r="E1912" s="223">
        <v>12144</v>
      </c>
    </row>
    <row r="1913" spans="1:5" ht="15">
      <c r="A1913" s="223" t="s">
        <v>436</v>
      </c>
      <c r="B1913" s="223">
        <v>29</v>
      </c>
      <c r="C1913" s="223">
        <v>21</v>
      </c>
      <c r="D1913" s="223">
        <v>4</v>
      </c>
      <c r="E1913" s="223">
        <v>5299</v>
      </c>
    </row>
    <row r="1914" spans="1:5" ht="15">
      <c r="A1914" s="223" t="s">
        <v>436</v>
      </c>
      <c r="B1914" s="223">
        <v>29</v>
      </c>
      <c r="C1914" s="223">
        <v>26</v>
      </c>
      <c r="D1914" s="223">
        <v>7</v>
      </c>
      <c r="E1914" s="223">
        <v>5639</v>
      </c>
    </row>
    <row r="1915" spans="1:5" ht="15">
      <c r="A1915" s="223" t="s">
        <v>219</v>
      </c>
      <c r="B1915" s="223">
        <v>21</v>
      </c>
      <c r="C1915" s="223">
        <v>21</v>
      </c>
      <c r="D1915" s="223">
        <v>2</v>
      </c>
      <c r="E1915" s="223">
        <v>147610</v>
      </c>
    </row>
    <row r="1916" spans="1:5" ht="15">
      <c r="A1916" s="223" t="s">
        <v>219</v>
      </c>
      <c r="B1916" s="223">
        <v>21</v>
      </c>
      <c r="C1916" s="223">
        <v>21</v>
      </c>
      <c r="D1916" s="223">
        <v>3</v>
      </c>
      <c r="E1916" s="223">
        <v>48849</v>
      </c>
    </row>
    <row r="1917" spans="1:5" ht="15">
      <c r="A1917" s="223" t="s">
        <v>219</v>
      </c>
      <c r="B1917" s="223">
        <v>21</v>
      </c>
      <c r="C1917" s="223">
        <v>21</v>
      </c>
      <c r="D1917" s="223">
        <v>4</v>
      </c>
      <c r="E1917" s="223">
        <v>66050</v>
      </c>
    </row>
    <row r="1918" spans="1:5" ht="15">
      <c r="A1918" s="223" t="s">
        <v>219</v>
      </c>
      <c r="B1918" s="223">
        <v>21</v>
      </c>
      <c r="C1918" s="223">
        <v>21</v>
      </c>
      <c r="D1918" s="223">
        <v>5</v>
      </c>
      <c r="E1918" s="223">
        <v>4000</v>
      </c>
    </row>
    <row r="1919" spans="1:5" ht="15">
      <c r="A1919" s="223" t="s">
        <v>219</v>
      </c>
      <c r="B1919" s="223">
        <v>21</v>
      </c>
      <c r="C1919" s="223">
        <v>21</v>
      </c>
      <c r="D1919" s="223">
        <v>7</v>
      </c>
      <c r="E1919" s="223">
        <v>2120</v>
      </c>
    </row>
    <row r="1920" spans="1:5" ht="15">
      <c r="A1920" s="223" t="s">
        <v>219</v>
      </c>
      <c r="B1920" s="223">
        <v>21</v>
      </c>
      <c r="C1920" s="223">
        <v>21</v>
      </c>
      <c r="D1920" s="223">
        <v>8</v>
      </c>
      <c r="E1920" s="223">
        <v>2000</v>
      </c>
    </row>
    <row r="1921" spans="1:5" ht="15">
      <c r="A1921" s="223" t="s">
        <v>219</v>
      </c>
      <c r="B1921" s="223">
        <v>21</v>
      </c>
      <c r="C1921" s="223">
        <v>26</v>
      </c>
      <c r="D1921" s="223">
        <v>2</v>
      </c>
      <c r="E1921" s="223">
        <v>203541</v>
      </c>
    </row>
    <row r="1922" spans="1:5" ht="15">
      <c r="A1922" s="223" t="s">
        <v>219</v>
      </c>
      <c r="B1922" s="223">
        <v>21</v>
      </c>
      <c r="C1922" s="223">
        <v>26</v>
      </c>
      <c r="D1922" s="223">
        <v>3</v>
      </c>
      <c r="E1922" s="223">
        <v>302289</v>
      </c>
    </row>
    <row r="1923" spans="1:5" ht="15">
      <c r="A1923" s="223" t="s">
        <v>219</v>
      </c>
      <c r="B1923" s="223">
        <v>21</v>
      </c>
      <c r="C1923" s="223">
        <v>26</v>
      </c>
      <c r="D1923" s="223">
        <v>4</v>
      </c>
      <c r="E1923" s="223">
        <v>236474</v>
      </c>
    </row>
    <row r="1924" spans="1:5" ht="15">
      <c r="A1924" s="223" t="s">
        <v>219</v>
      </c>
      <c r="B1924" s="223">
        <v>21</v>
      </c>
      <c r="C1924" s="223">
        <v>26</v>
      </c>
      <c r="D1924" s="223">
        <v>5</v>
      </c>
      <c r="E1924" s="223">
        <v>6000</v>
      </c>
    </row>
    <row r="1925" spans="1:5" ht="15">
      <c r="A1925" s="223" t="s">
        <v>219</v>
      </c>
      <c r="B1925" s="223">
        <v>21</v>
      </c>
      <c r="C1925" s="223">
        <v>26</v>
      </c>
      <c r="D1925" s="223">
        <v>7</v>
      </c>
      <c r="E1925" s="223">
        <v>1066784</v>
      </c>
    </row>
    <row r="1926" spans="1:5" ht="15">
      <c r="A1926" s="223" t="s">
        <v>219</v>
      </c>
      <c r="B1926" s="223">
        <v>21</v>
      </c>
      <c r="C1926" s="223">
        <v>26</v>
      </c>
      <c r="D1926" s="223">
        <v>8</v>
      </c>
      <c r="E1926" s="223">
        <v>1000</v>
      </c>
    </row>
    <row r="1927" spans="1:5" ht="15">
      <c r="A1927" s="223" t="s">
        <v>219</v>
      </c>
      <c r="B1927" s="223">
        <v>21</v>
      </c>
      <c r="C1927" s="223">
        <v>27</v>
      </c>
      <c r="D1927" s="223">
        <v>0</v>
      </c>
      <c r="E1927" s="223">
        <v>1500</v>
      </c>
    </row>
    <row r="1928" spans="1:5" ht="15">
      <c r="A1928" s="223" t="s">
        <v>219</v>
      </c>
      <c r="B1928" s="223">
        <v>21</v>
      </c>
      <c r="C1928" s="223">
        <v>27</v>
      </c>
      <c r="D1928" s="223">
        <v>2</v>
      </c>
      <c r="E1928" s="223">
        <v>1469665</v>
      </c>
    </row>
    <row r="1929" spans="1:5" ht="15">
      <c r="A1929" s="223" t="s">
        <v>219</v>
      </c>
      <c r="B1929" s="223">
        <v>21</v>
      </c>
      <c r="C1929" s="223">
        <v>27</v>
      </c>
      <c r="D1929" s="223">
        <v>3</v>
      </c>
      <c r="E1929" s="223">
        <v>922269</v>
      </c>
    </row>
    <row r="1930" spans="1:5" ht="15">
      <c r="A1930" s="223" t="s">
        <v>219</v>
      </c>
      <c r="B1930" s="223">
        <v>21</v>
      </c>
      <c r="C1930" s="223">
        <v>27</v>
      </c>
      <c r="D1930" s="223">
        <v>4</v>
      </c>
      <c r="E1930" s="223">
        <v>1159338</v>
      </c>
    </row>
    <row r="1931" spans="1:5" ht="15">
      <c r="A1931" s="223" t="s">
        <v>219</v>
      </c>
      <c r="B1931" s="223">
        <v>21</v>
      </c>
      <c r="C1931" s="223">
        <v>27</v>
      </c>
      <c r="D1931" s="223">
        <v>7</v>
      </c>
      <c r="E1931" s="223">
        <v>647280</v>
      </c>
    </row>
    <row r="1932" spans="1:5" ht="15">
      <c r="A1932" s="223" t="s">
        <v>219</v>
      </c>
      <c r="B1932" s="223">
        <v>21</v>
      </c>
      <c r="C1932" s="223">
        <v>27</v>
      </c>
      <c r="D1932" s="223">
        <v>8</v>
      </c>
      <c r="E1932" s="223">
        <v>22900</v>
      </c>
    </row>
    <row r="1933" spans="1:5" ht="15">
      <c r="A1933" s="223" t="s">
        <v>219</v>
      </c>
      <c r="B1933" s="223">
        <v>21</v>
      </c>
      <c r="C1933" s="223">
        <v>31</v>
      </c>
      <c r="D1933" s="223">
        <v>2</v>
      </c>
      <c r="E1933" s="223">
        <v>39239</v>
      </c>
    </row>
    <row r="1934" spans="1:5" ht="15">
      <c r="A1934" s="223" t="s">
        <v>219</v>
      </c>
      <c r="B1934" s="223">
        <v>21</v>
      </c>
      <c r="C1934" s="223">
        <v>31</v>
      </c>
      <c r="D1934" s="223">
        <v>3</v>
      </c>
      <c r="E1934" s="223">
        <v>5000</v>
      </c>
    </row>
    <row r="1935" spans="1:5" ht="15">
      <c r="A1935" s="223" t="s">
        <v>219</v>
      </c>
      <c r="B1935" s="223">
        <v>21</v>
      </c>
      <c r="C1935" s="223">
        <v>31</v>
      </c>
      <c r="D1935" s="223">
        <v>4</v>
      </c>
      <c r="E1935" s="223">
        <v>9696</v>
      </c>
    </row>
    <row r="1936" spans="1:5" ht="15">
      <c r="A1936" s="223" t="s">
        <v>219</v>
      </c>
      <c r="B1936" s="223">
        <v>21</v>
      </c>
      <c r="C1936" s="223">
        <v>31</v>
      </c>
      <c r="D1936" s="223">
        <v>7</v>
      </c>
      <c r="E1936" s="223">
        <v>200</v>
      </c>
    </row>
    <row r="1937" spans="1:5" ht="15">
      <c r="A1937" s="223" t="s">
        <v>219</v>
      </c>
      <c r="B1937" s="223">
        <v>21</v>
      </c>
      <c r="C1937" s="223">
        <v>32</v>
      </c>
      <c r="D1937" s="223">
        <v>7</v>
      </c>
      <c r="E1937" s="223">
        <v>1300</v>
      </c>
    </row>
    <row r="1938" spans="1:5" ht="15">
      <c r="A1938" s="223" t="s">
        <v>219</v>
      </c>
      <c r="B1938" s="223">
        <v>21</v>
      </c>
      <c r="C1938" s="223">
        <v>34</v>
      </c>
      <c r="D1938" s="223">
        <v>2</v>
      </c>
      <c r="E1938" s="223">
        <v>24030</v>
      </c>
    </row>
    <row r="1939" spans="1:5" ht="15">
      <c r="A1939" s="223" t="s">
        <v>219</v>
      </c>
      <c r="B1939" s="223">
        <v>21</v>
      </c>
      <c r="C1939" s="223">
        <v>34</v>
      </c>
      <c r="D1939" s="223">
        <v>4</v>
      </c>
      <c r="E1939" s="223">
        <v>5567</v>
      </c>
    </row>
    <row r="1940" spans="1:5" ht="15">
      <c r="A1940" s="223" t="s">
        <v>219</v>
      </c>
      <c r="B1940" s="223">
        <v>23</v>
      </c>
      <c r="C1940" s="223">
        <v>21</v>
      </c>
      <c r="D1940" s="223">
        <v>3</v>
      </c>
      <c r="E1940" s="223">
        <v>30681</v>
      </c>
    </row>
    <row r="1941" spans="1:5" ht="15">
      <c r="A1941" s="223" t="s">
        <v>219</v>
      </c>
      <c r="B1941" s="223">
        <v>23</v>
      </c>
      <c r="C1941" s="223">
        <v>21</v>
      </c>
      <c r="D1941" s="223">
        <v>4</v>
      </c>
      <c r="E1941" s="223">
        <v>15715</v>
      </c>
    </row>
    <row r="1942" spans="1:5" ht="15">
      <c r="A1942" s="223" t="s">
        <v>219</v>
      </c>
      <c r="B1942" s="223">
        <v>23</v>
      </c>
      <c r="C1942" s="223">
        <v>26</v>
      </c>
      <c r="D1942" s="223">
        <v>7</v>
      </c>
      <c r="E1942" s="223">
        <v>14894</v>
      </c>
    </row>
    <row r="1943" spans="1:5" ht="15">
      <c r="A1943" s="223" t="s">
        <v>219</v>
      </c>
      <c r="B1943" s="223">
        <v>23</v>
      </c>
      <c r="C1943" s="223">
        <v>27</v>
      </c>
      <c r="D1943" s="223">
        <v>3</v>
      </c>
      <c r="E1943" s="223">
        <v>29646</v>
      </c>
    </row>
    <row r="1944" spans="1:5" ht="15">
      <c r="A1944" s="223" t="s">
        <v>219</v>
      </c>
      <c r="B1944" s="223">
        <v>23</v>
      </c>
      <c r="C1944" s="223">
        <v>27</v>
      </c>
      <c r="D1944" s="223">
        <v>4</v>
      </c>
      <c r="E1944" s="223">
        <v>18612</v>
      </c>
    </row>
    <row r="1945" spans="1:5" ht="15">
      <c r="A1945" s="223" t="s">
        <v>219</v>
      </c>
      <c r="B1945" s="223">
        <v>23</v>
      </c>
      <c r="C1945" s="223">
        <v>27</v>
      </c>
      <c r="D1945" s="223">
        <v>7</v>
      </c>
      <c r="E1945" s="223">
        <v>83228</v>
      </c>
    </row>
    <row r="1946" spans="1:5" ht="15">
      <c r="A1946" s="223" t="s">
        <v>219</v>
      </c>
      <c r="B1946" s="223">
        <v>24</v>
      </c>
      <c r="C1946" s="223">
        <v>27</v>
      </c>
      <c r="D1946" s="223">
        <v>3</v>
      </c>
      <c r="E1946" s="223">
        <v>433553</v>
      </c>
    </row>
    <row r="1947" spans="1:5" ht="15">
      <c r="A1947" s="223" t="s">
        <v>219</v>
      </c>
      <c r="B1947" s="223">
        <v>24</v>
      </c>
      <c r="C1947" s="223">
        <v>27</v>
      </c>
      <c r="D1947" s="223">
        <v>4</v>
      </c>
      <c r="E1947" s="223">
        <v>262301</v>
      </c>
    </row>
    <row r="1948" spans="1:5" ht="15">
      <c r="A1948" s="223" t="s">
        <v>219</v>
      </c>
      <c r="B1948" s="223">
        <v>24</v>
      </c>
      <c r="C1948" s="223">
        <v>27</v>
      </c>
      <c r="D1948" s="223">
        <v>5</v>
      </c>
      <c r="E1948" s="223">
        <v>3700</v>
      </c>
    </row>
    <row r="1949" spans="1:5" ht="15">
      <c r="A1949" s="223" t="s">
        <v>219</v>
      </c>
      <c r="B1949" s="223">
        <v>24</v>
      </c>
      <c r="C1949" s="223">
        <v>27</v>
      </c>
      <c r="D1949" s="223">
        <v>7</v>
      </c>
      <c r="E1949" s="223">
        <v>1577</v>
      </c>
    </row>
    <row r="1950" spans="1:5" ht="15">
      <c r="A1950" s="223" t="s">
        <v>221</v>
      </c>
      <c r="B1950" s="223">
        <v>21</v>
      </c>
      <c r="C1950" s="223">
        <v>21</v>
      </c>
      <c r="D1950" s="223">
        <v>2</v>
      </c>
      <c r="E1950" s="223">
        <v>133660</v>
      </c>
    </row>
    <row r="1951" spans="1:5" ht="15">
      <c r="A1951" s="223" t="s">
        <v>221</v>
      </c>
      <c r="B1951" s="223">
        <v>21</v>
      </c>
      <c r="C1951" s="223">
        <v>21</v>
      </c>
      <c r="D1951" s="223">
        <v>3</v>
      </c>
      <c r="E1951" s="223">
        <v>30105</v>
      </c>
    </row>
    <row r="1952" spans="1:5" ht="15">
      <c r="A1952" s="223" t="s">
        <v>221</v>
      </c>
      <c r="B1952" s="223">
        <v>21</v>
      </c>
      <c r="C1952" s="223">
        <v>21</v>
      </c>
      <c r="D1952" s="223">
        <v>4</v>
      </c>
      <c r="E1952" s="223">
        <v>56205</v>
      </c>
    </row>
    <row r="1953" spans="1:5" ht="15">
      <c r="A1953" s="223" t="s">
        <v>221</v>
      </c>
      <c r="B1953" s="223">
        <v>21</v>
      </c>
      <c r="C1953" s="223">
        <v>21</v>
      </c>
      <c r="D1953" s="223">
        <v>5</v>
      </c>
      <c r="E1953" s="223">
        <v>2500</v>
      </c>
    </row>
    <row r="1954" spans="1:5" ht="15">
      <c r="A1954" s="223" t="s">
        <v>221</v>
      </c>
      <c r="B1954" s="223">
        <v>21</v>
      </c>
      <c r="C1954" s="223">
        <v>24</v>
      </c>
      <c r="D1954" s="223">
        <v>3</v>
      </c>
      <c r="E1954" s="223">
        <v>8826</v>
      </c>
    </row>
    <row r="1955" spans="1:5" ht="15">
      <c r="A1955" s="223" t="s">
        <v>221</v>
      </c>
      <c r="B1955" s="223">
        <v>21</v>
      </c>
      <c r="C1955" s="223">
        <v>24</v>
      </c>
      <c r="D1955" s="223">
        <v>4</v>
      </c>
      <c r="E1955" s="223">
        <v>4925</v>
      </c>
    </row>
    <row r="1956" spans="1:5" ht="15">
      <c r="A1956" s="223" t="s">
        <v>221</v>
      </c>
      <c r="B1956" s="223">
        <v>21</v>
      </c>
      <c r="C1956" s="223">
        <v>26</v>
      </c>
      <c r="D1956" s="223">
        <v>2</v>
      </c>
      <c r="E1956" s="223">
        <v>169404</v>
      </c>
    </row>
    <row r="1957" spans="1:5" ht="15">
      <c r="A1957" s="223" t="s">
        <v>221</v>
      </c>
      <c r="B1957" s="223">
        <v>21</v>
      </c>
      <c r="C1957" s="223">
        <v>26</v>
      </c>
      <c r="D1957" s="223">
        <v>3</v>
      </c>
      <c r="E1957" s="223">
        <v>131902</v>
      </c>
    </row>
    <row r="1958" spans="1:5" ht="15">
      <c r="A1958" s="223" t="s">
        <v>221</v>
      </c>
      <c r="B1958" s="223">
        <v>21</v>
      </c>
      <c r="C1958" s="223">
        <v>26</v>
      </c>
      <c r="D1958" s="223">
        <v>4</v>
      </c>
      <c r="E1958" s="223">
        <v>129983</v>
      </c>
    </row>
    <row r="1959" spans="1:5" ht="15">
      <c r="A1959" s="223" t="s">
        <v>221</v>
      </c>
      <c r="B1959" s="223">
        <v>21</v>
      </c>
      <c r="C1959" s="223">
        <v>26</v>
      </c>
      <c r="D1959" s="223">
        <v>7</v>
      </c>
      <c r="E1959" s="223">
        <v>121790</v>
      </c>
    </row>
    <row r="1960" spans="1:5" ht="15">
      <c r="A1960" s="223" t="s">
        <v>221</v>
      </c>
      <c r="B1960" s="223">
        <v>21</v>
      </c>
      <c r="C1960" s="223">
        <v>27</v>
      </c>
      <c r="D1960" s="223">
        <v>2</v>
      </c>
      <c r="E1960" s="223">
        <v>650069</v>
      </c>
    </row>
    <row r="1961" spans="1:5" ht="15">
      <c r="A1961" s="223" t="s">
        <v>221</v>
      </c>
      <c r="B1961" s="223">
        <v>21</v>
      </c>
      <c r="C1961" s="223">
        <v>27</v>
      </c>
      <c r="D1961" s="223">
        <v>3</v>
      </c>
      <c r="E1961" s="223">
        <v>149978</v>
      </c>
    </row>
    <row r="1962" spans="1:5" ht="15">
      <c r="A1962" s="223" t="s">
        <v>221</v>
      </c>
      <c r="B1962" s="223">
        <v>21</v>
      </c>
      <c r="C1962" s="223">
        <v>27</v>
      </c>
      <c r="D1962" s="223">
        <v>4</v>
      </c>
      <c r="E1962" s="223">
        <v>347113</v>
      </c>
    </row>
    <row r="1963" spans="1:5" ht="15">
      <c r="A1963" s="223" t="s">
        <v>221</v>
      </c>
      <c r="B1963" s="223">
        <v>21</v>
      </c>
      <c r="C1963" s="223">
        <v>27</v>
      </c>
      <c r="D1963" s="223">
        <v>5</v>
      </c>
      <c r="E1963" s="223">
        <v>27500</v>
      </c>
    </row>
    <row r="1964" spans="1:5" ht="15">
      <c r="A1964" s="223" t="s">
        <v>221</v>
      </c>
      <c r="B1964" s="223">
        <v>24</v>
      </c>
      <c r="C1964" s="223">
        <v>27</v>
      </c>
      <c r="D1964" s="223">
        <v>3</v>
      </c>
      <c r="E1964" s="223">
        <v>166923</v>
      </c>
    </row>
    <row r="1965" spans="1:5" ht="15">
      <c r="A1965" s="223" t="s">
        <v>221</v>
      </c>
      <c r="B1965" s="223">
        <v>24</v>
      </c>
      <c r="C1965" s="223">
        <v>27</v>
      </c>
      <c r="D1965" s="223">
        <v>4</v>
      </c>
      <c r="E1965" s="223">
        <v>111165</v>
      </c>
    </row>
    <row r="1966" spans="1:5" ht="15">
      <c r="A1966" s="223" t="s">
        <v>221</v>
      </c>
      <c r="B1966" s="223">
        <v>24</v>
      </c>
      <c r="C1966" s="223">
        <v>27</v>
      </c>
      <c r="D1966" s="223">
        <v>5</v>
      </c>
      <c r="E1966" s="223">
        <v>21525</v>
      </c>
    </row>
    <row r="1967" spans="1:5" ht="15">
      <c r="A1967" s="223" t="s">
        <v>313</v>
      </c>
      <c r="B1967" s="223">
        <v>21</v>
      </c>
      <c r="C1967" s="223">
        <v>21</v>
      </c>
      <c r="D1967" s="223">
        <v>2</v>
      </c>
      <c r="E1967" s="223">
        <v>165514</v>
      </c>
    </row>
    <row r="1968" spans="1:5" ht="15">
      <c r="A1968" s="223" t="s">
        <v>313</v>
      </c>
      <c r="B1968" s="223">
        <v>21</v>
      </c>
      <c r="C1968" s="223">
        <v>21</v>
      </c>
      <c r="D1968" s="223">
        <v>3</v>
      </c>
      <c r="E1968" s="223">
        <v>85038</v>
      </c>
    </row>
    <row r="1969" spans="1:5" ht="15">
      <c r="A1969" s="223" t="s">
        <v>313</v>
      </c>
      <c r="B1969" s="223">
        <v>21</v>
      </c>
      <c r="C1969" s="223">
        <v>21</v>
      </c>
      <c r="D1969" s="223">
        <v>4</v>
      </c>
      <c r="E1969" s="223">
        <v>83137</v>
      </c>
    </row>
    <row r="1970" spans="1:5" ht="15">
      <c r="A1970" s="223" t="s">
        <v>313</v>
      </c>
      <c r="B1970" s="223">
        <v>21</v>
      </c>
      <c r="C1970" s="223">
        <v>24</v>
      </c>
      <c r="D1970" s="223">
        <v>5</v>
      </c>
      <c r="E1970" s="223">
        <v>5000</v>
      </c>
    </row>
    <row r="1971" spans="1:5" ht="15">
      <c r="A1971" s="223" t="s">
        <v>313</v>
      </c>
      <c r="B1971" s="223">
        <v>21</v>
      </c>
      <c r="C1971" s="223">
        <v>24</v>
      </c>
      <c r="D1971" s="223">
        <v>7</v>
      </c>
      <c r="E1971" s="223">
        <v>10000</v>
      </c>
    </row>
    <row r="1972" spans="1:5" ht="15">
      <c r="A1972" s="223" t="s">
        <v>313</v>
      </c>
      <c r="B1972" s="223">
        <v>21</v>
      </c>
      <c r="C1972" s="223">
        <v>25</v>
      </c>
      <c r="D1972" s="223">
        <v>3</v>
      </c>
      <c r="E1972" s="223">
        <v>78043</v>
      </c>
    </row>
    <row r="1973" spans="1:5" ht="15">
      <c r="A1973" s="223" t="s">
        <v>313</v>
      </c>
      <c r="B1973" s="223">
        <v>21</v>
      </c>
      <c r="C1973" s="223">
        <v>25</v>
      </c>
      <c r="D1973" s="223">
        <v>4</v>
      </c>
      <c r="E1973" s="223">
        <v>37598</v>
      </c>
    </row>
    <row r="1974" spans="1:5" ht="15">
      <c r="A1974" s="223" t="s">
        <v>313</v>
      </c>
      <c r="B1974" s="223">
        <v>21</v>
      </c>
      <c r="C1974" s="223">
        <v>26</v>
      </c>
      <c r="D1974" s="223">
        <v>2</v>
      </c>
      <c r="E1974" s="223">
        <v>223755</v>
      </c>
    </row>
    <row r="1975" spans="1:5" ht="15">
      <c r="A1975" s="223" t="s">
        <v>313</v>
      </c>
      <c r="B1975" s="223">
        <v>21</v>
      </c>
      <c r="C1975" s="223">
        <v>26</v>
      </c>
      <c r="D1975" s="223">
        <v>3</v>
      </c>
      <c r="E1975" s="223">
        <v>228653</v>
      </c>
    </row>
    <row r="1976" spans="1:5" ht="15">
      <c r="A1976" s="223" t="s">
        <v>313</v>
      </c>
      <c r="B1976" s="223">
        <v>21</v>
      </c>
      <c r="C1976" s="223">
        <v>26</v>
      </c>
      <c r="D1976" s="223">
        <v>4</v>
      </c>
      <c r="E1976" s="223">
        <v>191811</v>
      </c>
    </row>
    <row r="1977" spans="1:5" ht="15">
      <c r="A1977" s="223" t="s">
        <v>313</v>
      </c>
      <c r="B1977" s="223">
        <v>21</v>
      </c>
      <c r="C1977" s="223">
        <v>26</v>
      </c>
      <c r="D1977" s="223">
        <v>7</v>
      </c>
      <c r="E1977" s="223">
        <v>60000</v>
      </c>
    </row>
    <row r="1978" spans="1:5" ht="15">
      <c r="A1978" s="223" t="s">
        <v>313</v>
      </c>
      <c r="B1978" s="223">
        <v>21</v>
      </c>
      <c r="C1978" s="223">
        <v>27</v>
      </c>
      <c r="D1978" s="223">
        <v>2</v>
      </c>
      <c r="E1978" s="223">
        <v>1815890</v>
      </c>
    </row>
    <row r="1979" spans="1:5" ht="15">
      <c r="A1979" s="223" t="s">
        <v>313</v>
      </c>
      <c r="B1979" s="223">
        <v>21</v>
      </c>
      <c r="C1979" s="223">
        <v>27</v>
      </c>
      <c r="D1979" s="223">
        <v>3</v>
      </c>
      <c r="E1979" s="223">
        <v>1287906</v>
      </c>
    </row>
    <row r="1980" spans="1:5" ht="15">
      <c r="A1980" s="223" t="s">
        <v>313</v>
      </c>
      <c r="B1980" s="223">
        <v>21</v>
      </c>
      <c r="C1980" s="223">
        <v>27</v>
      </c>
      <c r="D1980" s="223">
        <v>4</v>
      </c>
      <c r="E1980" s="223">
        <v>1478757</v>
      </c>
    </row>
    <row r="1981" spans="1:5" ht="15">
      <c r="A1981" s="223" t="s">
        <v>313</v>
      </c>
      <c r="B1981" s="223">
        <v>21</v>
      </c>
      <c r="C1981" s="223">
        <v>29</v>
      </c>
      <c r="D1981" s="223">
        <v>7</v>
      </c>
      <c r="E1981" s="223">
        <v>620000</v>
      </c>
    </row>
    <row r="1982" spans="1:5" ht="15">
      <c r="A1982" s="223" t="s">
        <v>313</v>
      </c>
      <c r="B1982" s="223">
        <v>24</v>
      </c>
      <c r="C1982" s="223">
        <v>24</v>
      </c>
      <c r="D1982" s="223">
        <v>7</v>
      </c>
      <c r="E1982" s="223">
        <v>135000</v>
      </c>
    </row>
    <row r="1983" spans="1:5" ht="15">
      <c r="A1983" s="223" t="s">
        <v>313</v>
      </c>
      <c r="B1983" s="223">
        <v>24</v>
      </c>
      <c r="C1983" s="223">
        <v>26</v>
      </c>
      <c r="D1983" s="223">
        <v>2</v>
      </c>
      <c r="E1983" s="223">
        <v>123182</v>
      </c>
    </row>
    <row r="1984" spans="1:5" ht="15">
      <c r="A1984" s="223" t="s">
        <v>313</v>
      </c>
      <c r="B1984" s="223">
        <v>24</v>
      </c>
      <c r="C1984" s="223">
        <v>26</v>
      </c>
      <c r="D1984" s="223">
        <v>4</v>
      </c>
      <c r="E1984" s="223">
        <v>40354</v>
      </c>
    </row>
    <row r="1985" spans="1:5" ht="15">
      <c r="A1985" s="223" t="s">
        <v>313</v>
      </c>
      <c r="B1985" s="223">
        <v>24</v>
      </c>
      <c r="C1985" s="223">
        <v>27</v>
      </c>
      <c r="D1985" s="223">
        <v>2</v>
      </c>
      <c r="E1985" s="223">
        <v>39014</v>
      </c>
    </row>
    <row r="1986" spans="1:5" ht="15">
      <c r="A1986" s="223" t="s">
        <v>313</v>
      </c>
      <c r="B1986" s="223">
        <v>24</v>
      </c>
      <c r="C1986" s="223">
        <v>27</v>
      </c>
      <c r="D1986" s="223">
        <v>3</v>
      </c>
      <c r="E1986" s="223">
        <v>17068</v>
      </c>
    </row>
    <row r="1987" spans="1:5" ht="15">
      <c r="A1987" s="223" t="s">
        <v>313</v>
      </c>
      <c r="B1987" s="223">
        <v>24</v>
      </c>
      <c r="C1987" s="223">
        <v>27</v>
      </c>
      <c r="D1987" s="223">
        <v>4</v>
      </c>
      <c r="E1987" s="223">
        <v>27830</v>
      </c>
    </row>
    <row r="1988" spans="1:5" ht="15">
      <c r="A1988" s="223" t="s">
        <v>313</v>
      </c>
      <c r="B1988" s="223">
        <v>24</v>
      </c>
      <c r="C1988" s="223">
        <v>27</v>
      </c>
      <c r="D1988" s="223">
        <v>7</v>
      </c>
      <c r="E1988" s="223">
        <v>60000</v>
      </c>
    </row>
    <row r="1989" spans="1:5" ht="15">
      <c r="A1989" s="223" t="s">
        <v>439</v>
      </c>
      <c r="B1989" s="223">
        <v>21</v>
      </c>
      <c r="C1989" s="223">
        <v>27</v>
      </c>
      <c r="D1989" s="223">
        <v>2</v>
      </c>
      <c r="E1989" s="223">
        <v>103752</v>
      </c>
    </row>
    <row r="1990" spans="1:5" ht="15">
      <c r="A1990" s="223" t="s">
        <v>439</v>
      </c>
      <c r="B1990" s="223">
        <v>21</v>
      </c>
      <c r="C1990" s="223">
        <v>27</v>
      </c>
      <c r="D1990" s="223">
        <v>3</v>
      </c>
      <c r="E1990" s="223">
        <v>63634</v>
      </c>
    </row>
    <row r="1991" spans="1:5" ht="15">
      <c r="A1991" s="223" t="s">
        <v>439</v>
      </c>
      <c r="B1991" s="223">
        <v>21</v>
      </c>
      <c r="C1991" s="223">
        <v>27</v>
      </c>
      <c r="D1991" s="223">
        <v>4</v>
      </c>
      <c r="E1991" s="223">
        <v>68600</v>
      </c>
    </row>
    <row r="1992" spans="1:5" ht="15">
      <c r="A1992" s="223" t="s">
        <v>439</v>
      </c>
      <c r="B1992" s="223">
        <v>21</v>
      </c>
      <c r="C1992" s="223">
        <v>29</v>
      </c>
      <c r="D1992" s="223">
        <v>7</v>
      </c>
      <c r="E1992" s="223">
        <v>101829</v>
      </c>
    </row>
    <row r="1993" spans="1:5" ht="15">
      <c r="A1993" s="223" t="s">
        <v>439</v>
      </c>
      <c r="B1993" s="223">
        <v>21</v>
      </c>
      <c r="C1993" s="223">
        <v>34</v>
      </c>
      <c r="D1993" s="223">
        <v>2</v>
      </c>
      <c r="E1993" s="223">
        <v>2306</v>
      </c>
    </row>
    <row r="1994" spans="1:5" ht="15">
      <c r="A1994" s="223" t="s">
        <v>439</v>
      </c>
      <c r="B1994" s="223">
        <v>21</v>
      </c>
      <c r="C1994" s="223">
        <v>34</v>
      </c>
      <c r="D1994" s="223">
        <v>4</v>
      </c>
      <c r="E1994" s="223">
        <v>516</v>
      </c>
    </row>
    <row r="1995" spans="1:5" ht="15">
      <c r="A1995" s="223" t="s">
        <v>439</v>
      </c>
      <c r="B1995" s="223">
        <v>24</v>
      </c>
      <c r="C1995" s="223">
        <v>29</v>
      </c>
      <c r="D1995" s="223">
        <v>7</v>
      </c>
      <c r="E1995" s="223">
        <v>39171</v>
      </c>
    </row>
    <row r="1996" spans="1:5" ht="15">
      <c r="A1996" s="223" t="s">
        <v>441</v>
      </c>
      <c r="B1996" s="223">
        <v>21</v>
      </c>
      <c r="C1996" s="223">
        <v>26</v>
      </c>
      <c r="D1996" s="223">
        <v>7</v>
      </c>
      <c r="E1996" s="223">
        <v>10000</v>
      </c>
    </row>
    <row r="1997" spans="1:5" ht="15">
      <c r="A1997" s="223" t="s">
        <v>441</v>
      </c>
      <c r="B1997" s="223">
        <v>21</v>
      </c>
      <c r="C1997" s="223">
        <v>27</v>
      </c>
      <c r="D1997" s="223">
        <v>2</v>
      </c>
      <c r="E1997" s="223">
        <v>22828</v>
      </c>
    </row>
    <row r="1998" spans="1:5" ht="15">
      <c r="A1998" s="223" t="s">
        <v>441</v>
      </c>
      <c r="B1998" s="223">
        <v>21</v>
      </c>
      <c r="C1998" s="223">
        <v>27</v>
      </c>
      <c r="D1998" s="223">
        <v>4</v>
      </c>
      <c r="E1998" s="223">
        <v>5208</v>
      </c>
    </row>
    <row r="1999" spans="1:5" ht="15">
      <c r="A1999" s="223" t="s">
        <v>441</v>
      </c>
      <c r="B1999" s="223">
        <v>21</v>
      </c>
      <c r="C1999" s="223">
        <v>27</v>
      </c>
      <c r="D1999" s="223">
        <v>5</v>
      </c>
      <c r="E1999" s="223">
        <v>5000</v>
      </c>
    </row>
    <row r="2000" spans="1:5" ht="15">
      <c r="A2000" s="223" t="s">
        <v>441</v>
      </c>
      <c r="B2000" s="223">
        <v>24</v>
      </c>
      <c r="C2000" s="223">
        <v>26</v>
      </c>
      <c r="D2000" s="223">
        <v>7</v>
      </c>
      <c r="E2000" s="223">
        <v>7418</v>
      </c>
    </row>
    <row r="2001" spans="1:5" ht="15">
      <c r="A2001" s="223" t="s">
        <v>443</v>
      </c>
      <c r="B2001" s="223">
        <v>21</v>
      </c>
      <c r="C2001" s="223">
        <v>29</v>
      </c>
      <c r="D2001" s="223">
        <v>7</v>
      </c>
      <c r="E2001" s="223">
        <v>225127</v>
      </c>
    </row>
    <row r="2002" spans="1:5" ht="15">
      <c r="A2002" s="223" t="s">
        <v>445</v>
      </c>
      <c r="B2002" s="223">
        <v>21</v>
      </c>
      <c r="C2002" s="223">
        <v>21</v>
      </c>
      <c r="D2002" s="223">
        <v>2</v>
      </c>
      <c r="E2002" s="223">
        <v>55530</v>
      </c>
    </row>
    <row r="2003" spans="1:5" ht="15">
      <c r="A2003" s="223" t="s">
        <v>445</v>
      </c>
      <c r="B2003" s="223">
        <v>21</v>
      </c>
      <c r="C2003" s="223">
        <v>21</v>
      </c>
      <c r="D2003" s="223">
        <v>4</v>
      </c>
      <c r="E2003" s="223">
        <v>18860</v>
      </c>
    </row>
    <row r="2004" spans="1:5" ht="15">
      <c r="A2004" s="223" t="s">
        <v>445</v>
      </c>
      <c r="B2004" s="223">
        <v>21</v>
      </c>
      <c r="C2004" s="223">
        <v>21</v>
      </c>
      <c r="D2004" s="223">
        <v>5</v>
      </c>
      <c r="E2004" s="223">
        <v>50</v>
      </c>
    </row>
    <row r="2005" spans="1:5" ht="15">
      <c r="A2005" s="223" t="s">
        <v>445</v>
      </c>
      <c r="B2005" s="223">
        <v>21</v>
      </c>
      <c r="C2005" s="223">
        <v>23</v>
      </c>
      <c r="D2005" s="223">
        <v>3</v>
      </c>
      <c r="E2005" s="223">
        <v>9623</v>
      </c>
    </row>
    <row r="2006" spans="1:5" ht="15">
      <c r="A2006" s="223" t="s">
        <v>445</v>
      </c>
      <c r="B2006" s="223">
        <v>21</v>
      </c>
      <c r="C2006" s="223">
        <v>23</v>
      </c>
      <c r="D2006" s="223">
        <v>4</v>
      </c>
      <c r="E2006" s="223">
        <v>13290</v>
      </c>
    </row>
    <row r="2007" spans="1:5" ht="15">
      <c r="A2007" s="223" t="s">
        <v>445</v>
      </c>
      <c r="B2007" s="223">
        <v>21</v>
      </c>
      <c r="C2007" s="223">
        <v>26</v>
      </c>
      <c r="D2007" s="223">
        <v>2</v>
      </c>
      <c r="E2007" s="223">
        <v>69655</v>
      </c>
    </row>
    <row r="2008" spans="1:5" ht="15">
      <c r="A2008" s="223" t="s">
        <v>445</v>
      </c>
      <c r="B2008" s="223">
        <v>21</v>
      </c>
      <c r="C2008" s="223">
        <v>26</v>
      </c>
      <c r="D2008" s="223">
        <v>4</v>
      </c>
      <c r="E2008" s="223">
        <v>28070</v>
      </c>
    </row>
    <row r="2009" spans="1:5" ht="15">
      <c r="A2009" s="223" t="s">
        <v>445</v>
      </c>
      <c r="B2009" s="223">
        <v>21</v>
      </c>
      <c r="C2009" s="223">
        <v>26</v>
      </c>
      <c r="D2009" s="223">
        <v>5</v>
      </c>
      <c r="E2009" s="223">
        <v>400</v>
      </c>
    </row>
    <row r="2010" spans="1:5" ht="15">
      <c r="A2010" s="223" t="s">
        <v>445</v>
      </c>
      <c r="B2010" s="223">
        <v>21</v>
      </c>
      <c r="C2010" s="223">
        <v>26</v>
      </c>
      <c r="D2010" s="223">
        <v>7</v>
      </c>
      <c r="E2010" s="223">
        <v>136000</v>
      </c>
    </row>
    <row r="2011" spans="1:5" ht="15">
      <c r="A2011" s="223" t="s">
        <v>445</v>
      </c>
      <c r="B2011" s="223">
        <v>21</v>
      </c>
      <c r="C2011" s="223">
        <v>27</v>
      </c>
      <c r="D2011" s="223">
        <v>0</v>
      </c>
      <c r="E2011" s="223">
        <v>10000</v>
      </c>
    </row>
    <row r="2012" spans="1:5" ht="15">
      <c r="A2012" s="223" t="s">
        <v>445</v>
      </c>
      <c r="B2012" s="223">
        <v>21</v>
      </c>
      <c r="C2012" s="223">
        <v>27</v>
      </c>
      <c r="D2012" s="223">
        <v>2</v>
      </c>
      <c r="E2012" s="223">
        <v>258807</v>
      </c>
    </row>
    <row r="2013" spans="1:5" ht="15">
      <c r="A2013" s="223" t="s">
        <v>445</v>
      </c>
      <c r="B2013" s="223">
        <v>21</v>
      </c>
      <c r="C2013" s="223">
        <v>27</v>
      </c>
      <c r="D2013" s="223">
        <v>3</v>
      </c>
      <c r="E2013" s="223">
        <v>202753</v>
      </c>
    </row>
    <row r="2014" spans="1:5" ht="15">
      <c r="A2014" s="223" t="s">
        <v>445</v>
      </c>
      <c r="B2014" s="223">
        <v>21</v>
      </c>
      <c r="C2014" s="223">
        <v>27</v>
      </c>
      <c r="D2014" s="223">
        <v>4</v>
      </c>
      <c r="E2014" s="223">
        <v>218073</v>
      </c>
    </row>
    <row r="2015" spans="1:5" ht="15">
      <c r="A2015" s="223" t="s">
        <v>445</v>
      </c>
      <c r="B2015" s="223">
        <v>21</v>
      </c>
      <c r="C2015" s="223">
        <v>27</v>
      </c>
      <c r="D2015" s="223">
        <v>5</v>
      </c>
      <c r="E2015" s="223">
        <v>199</v>
      </c>
    </row>
    <row r="2016" spans="1:5" ht="15">
      <c r="A2016" s="223" t="s">
        <v>445</v>
      </c>
      <c r="B2016" s="223">
        <v>21</v>
      </c>
      <c r="C2016" s="223">
        <v>27</v>
      </c>
      <c r="D2016" s="223">
        <v>7</v>
      </c>
      <c r="E2016" s="223">
        <v>2200</v>
      </c>
    </row>
    <row r="2017" spans="1:5" ht="15">
      <c r="A2017" s="223" t="s">
        <v>445</v>
      </c>
      <c r="B2017" s="223">
        <v>21</v>
      </c>
      <c r="C2017" s="223">
        <v>32</v>
      </c>
      <c r="D2017" s="223">
        <v>5</v>
      </c>
      <c r="E2017" s="223">
        <v>250</v>
      </c>
    </row>
    <row r="2018" spans="1:5" ht="15">
      <c r="A2018" s="223" t="s">
        <v>445</v>
      </c>
      <c r="B2018" s="223">
        <v>24</v>
      </c>
      <c r="C2018" s="223">
        <v>26</v>
      </c>
      <c r="D2018" s="223">
        <v>2</v>
      </c>
      <c r="E2018" s="223">
        <v>49601</v>
      </c>
    </row>
    <row r="2019" spans="1:5" ht="15">
      <c r="A2019" s="223" t="s">
        <v>445</v>
      </c>
      <c r="B2019" s="223">
        <v>24</v>
      </c>
      <c r="C2019" s="223">
        <v>26</v>
      </c>
      <c r="D2019" s="223">
        <v>4</v>
      </c>
      <c r="E2019" s="223">
        <v>17345</v>
      </c>
    </row>
    <row r="2020" spans="1:5" ht="15">
      <c r="A2020" s="223" t="s">
        <v>445</v>
      </c>
      <c r="B2020" s="223">
        <v>24</v>
      </c>
      <c r="C2020" s="223">
        <v>26</v>
      </c>
      <c r="D2020" s="223">
        <v>7</v>
      </c>
      <c r="E2020" s="223">
        <v>8000</v>
      </c>
    </row>
    <row r="2021" spans="1:5" ht="15">
      <c r="A2021" s="223" t="s">
        <v>445</v>
      </c>
      <c r="B2021" s="223">
        <v>24</v>
      </c>
      <c r="C2021" s="223">
        <v>27</v>
      </c>
      <c r="D2021" s="223">
        <v>3</v>
      </c>
      <c r="E2021" s="223">
        <v>18969</v>
      </c>
    </row>
    <row r="2022" spans="1:5" ht="15">
      <c r="A2022" s="223" t="s">
        <v>445</v>
      </c>
      <c r="B2022" s="223">
        <v>24</v>
      </c>
      <c r="C2022" s="223">
        <v>27</v>
      </c>
      <c r="D2022" s="223">
        <v>4</v>
      </c>
      <c r="E2022" s="223">
        <v>10988</v>
      </c>
    </row>
    <row r="2023" spans="1:5" ht="15">
      <c r="A2023" s="223" t="s">
        <v>445</v>
      </c>
      <c r="B2023" s="223">
        <v>24</v>
      </c>
      <c r="C2023" s="223">
        <v>27</v>
      </c>
      <c r="D2023" s="223">
        <v>5</v>
      </c>
      <c r="E2023" s="223">
        <v>137</v>
      </c>
    </row>
    <row r="2024" spans="1:5" ht="15">
      <c r="A2024" s="223" t="s">
        <v>447</v>
      </c>
      <c r="B2024" s="223">
        <v>21</v>
      </c>
      <c r="C2024" s="223">
        <v>26</v>
      </c>
      <c r="D2024" s="223">
        <v>2</v>
      </c>
      <c r="E2024" s="223">
        <v>23936</v>
      </c>
    </row>
    <row r="2025" spans="1:5" ht="15">
      <c r="A2025" s="223" t="s">
        <v>447</v>
      </c>
      <c r="B2025" s="223">
        <v>21</v>
      </c>
      <c r="C2025" s="223">
        <v>26</v>
      </c>
      <c r="D2025" s="223">
        <v>4</v>
      </c>
      <c r="E2025" s="223">
        <v>5946</v>
      </c>
    </row>
    <row r="2026" spans="1:5" ht="15">
      <c r="A2026" s="223" t="s">
        <v>447</v>
      </c>
      <c r="B2026" s="223">
        <v>21</v>
      </c>
      <c r="C2026" s="223">
        <v>26</v>
      </c>
      <c r="D2026" s="223">
        <v>7</v>
      </c>
      <c r="E2026" s="223">
        <v>45000</v>
      </c>
    </row>
    <row r="2027" spans="1:5" ht="15">
      <c r="A2027" s="223" t="s">
        <v>447</v>
      </c>
      <c r="B2027" s="223">
        <v>21</v>
      </c>
      <c r="C2027" s="223">
        <v>27</v>
      </c>
      <c r="D2027" s="223">
        <v>2</v>
      </c>
      <c r="E2027" s="223">
        <v>53118</v>
      </c>
    </row>
    <row r="2028" spans="1:5" ht="15">
      <c r="A2028" s="223" t="s">
        <v>447</v>
      </c>
      <c r="B2028" s="223">
        <v>21</v>
      </c>
      <c r="C2028" s="223">
        <v>27</v>
      </c>
      <c r="D2028" s="223">
        <v>3</v>
      </c>
      <c r="E2028" s="223">
        <v>61423</v>
      </c>
    </row>
    <row r="2029" spans="1:5" ht="15">
      <c r="A2029" s="223" t="s">
        <v>447</v>
      </c>
      <c r="B2029" s="223">
        <v>21</v>
      </c>
      <c r="C2029" s="223">
        <v>27</v>
      </c>
      <c r="D2029" s="223">
        <v>4</v>
      </c>
      <c r="E2029" s="223">
        <v>58551</v>
      </c>
    </row>
    <row r="2030" spans="1:5" ht="15">
      <c r="A2030" s="223" t="s">
        <v>447</v>
      </c>
      <c r="B2030" s="223">
        <v>21</v>
      </c>
      <c r="C2030" s="223">
        <v>27</v>
      </c>
      <c r="D2030" s="223">
        <v>5</v>
      </c>
      <c r="E2030" s="223">
        <v>2200</v>
      </c>
    </row>
    <row r="2031" spans="1:5" ht="15">
      <c r="A2031" s="223" t="s">
        <v>447</v>
      </c>
      <c r="B2031" s="223">
        <v>21</v>
      </c>
      <c r="C2031" s="223">
        <v>27</v>
      </c>
      <c r="D2031" s="223">
        <v>7</v>
      </c>
      <c r="E2031" s="223">
        <v>1350</v>
      </c>
    </row>
    <row r="2032" spans="1:5" ht="15">
      <c r="A2032" s="223" t="s">
        <v>447</v>
      </c>
      <c r="B2032" s="223">
        <v>21</v>
      </c>
      <c r="C2032" s="223">
        <v>34</v>
      </c>
      <c r="D2032" s="223">
        <v>2</v>
      </c>
      <c r="E2032" s="223">
        <v>2300</v>
      </c>
    </row>
    <row r="2033" spans="1:5" ht="15">
      <c r="A2033" s="223" t="s">
        <v>447</v>
      </c>
      <c r="B2033" s="223">
        <v>21</v>
      </c>
      <c r="C2033" s="223">
        <v>34</v>
      </c>
      <c r="D2033" s="223">
        <v>4</v>
      </c>
      <c r="E2033" s="223">
        <v>573</v>
      </c>
    </row>
    <row r="2034" spans="1:5" ht="15">
      <c r="A2034" s="223" t="s">
        <v>447</v>
      </c>
      <c r="B2034" s="223">
        <v>24</v>
      </c>
      <c r="C2034" s="223">
        <v>27</v>
      </c>
      <c r="D2034" s="223">
        <v>3</v>
      </c>
      <c r="E2034" s="223">
        <v>15056</v>
      </c>
    </row>
    <row r="2035" spans="1:5" ht="15">
      <c r="A2035" s="223" t="s">
        <v>447</v>
      </c>
      <c r="B2035" s="223">
        <v>24</v>
      </c>
      <c r="C2035" s="223">
        <v>27</v>
      </c>
      <c r="D2035" s="223">
        <v>4</v>
      </c>
      <c r="E2035" s="223">
        <v>8987</v>
      </c>
    </row>
    <row r="2036" spans="1:5" ht="15">
      <c r="A2036" s="223" t="s">
        <v>447</v>
      </c>
      <c r="B2036" s="223">
        <v>24</v>
      </c>
      <c r="C2036" s="223">
        <v>27</v>
      </c>
      <c r="D2036" s="223">
        <v>5</v>
      </c>
      <c r="E2036" s="223">
        <v>2434</v>
      </c>
    </row>
    <row r="2037" spans="1:5" ht="15">
      <c r="A2037" s="223" t="s">
        <v>449</v>
      </c>
      <c r="B2037" s="223">
        <v>21</v>
      </c>
      <c r="C2037" s="223">
        <v>21</v>
      </c>
      <c r="D2037" s="223">
        <v>2</v>
      </c>
      <c r="E2037" s="223">
        <v>76532</v>
      </c>
    </row>
    <row r="2038" spans="1:5" ht="15">
      <c r="A2038" s="223" t="s">
        <v>449</v>
      </c>
      <c r="B2038" s="223">
        <v>21</v>
      </c>
      <c r="C2038" s="223">
        <v>21</v>
      </c>
      <c r="D2038" s="223">
        <v>3</v>
      </c>
      <c r="E2038" s="223">
        <v>39328</v>
      </c>
    </row>
    <row r="2039" spans="1:5" ht="15">
      <c r="A2039" s="223" t="s">
        <v>449</v>
      </c>
      <c r="B2039" s="223">
        <v>21</v>
      </c>
      <c r="C2039" s="223">
        <v>21</v>
      </c>
      <c r="D2039" s="223">
        <v>4</v>
      </c>
      <c r="E2039" s="223">
        <v>47205</v>
      </c>
    </row>
    <row r="2040" spans="1:5" ht="15">
      <c r="A2040" s="223" t="s">
        <v>449</v>
      </c>
      <c r="B2040" s="223">
        <v>21</v>
      </c>
      <c r="C2040" s="223">
        <v>21</v>
      </c>
      <c r="D2040" s="223">
        <v>5</v>
      </c>
      <c r="E2040" s="223">
        <v>2400</v>
      </c>
    </row>
    <row r="2041" spans="1:5" ht="15">
      <c r="A2041" s="223" t="s">
        <v>449</v>
      </c>
      <c r="B2041" s="223">
        <v>21</v>
      </c>
      <c r="C2041" s="223">
        <v>21</v>
      </c>
      <c r="D2041" s="223">
        <v>8</v>
      </c>
      <c r="E2041" s="223">
        <v>275</v>
      </c>
    </row>
    <row r="2042" spans="1:5" ht="15">
      <c r="A2042" s="223" t="s">
        <v>449</v>
      </c>
      <c r="B2042" s="223">
        <v>21</v>
      </c>
      <c r="C2042" s="223">
        <v>24</v>
      </c>
      <c r="D2042" s="223">
        <v>8</v>
      </c>
      <c r="E2042" s="223">
        <v>450</v>
      </c>
    </row>
    <row r="2043" spans="1:5" ht="15">
      <c r="A2043" s="223" t="s">
        <v>449</v>
      </c>
      <c r="B2043" s="223">
        <v>21</v>
      </c>
      <c r="C2043" s="223">
        <v>26</v>
      </c>
      <c r="D2043" s="223">
        <v>2</v>
      </c>
      <c r="E2043" s="223">
        <v>250842</v>
      </c>
    </row>
    <row r="2044" spans="1:5" ht="15">
      <c r="A2044" s="223" t="s">
        <v>449</v>
      </c>
      <c r="B2044" s="223">
        <v>21</v>
      </c>
      <c r="C2044" s="223">
        <v>26</v>
      </c>
      <c r="D2044" s="223">
        <v>4</v>
      </c>
      <c r="E2044" s="223">
        <v>96522</v>
      </c>
    </row>
    <row r="2045" spans="1:5" ht="15">
      <c r="A2045" s="223" t="s">
        <v>449</v>
      </c>
      <c r="B2045" s="223">
        <v>21</v>
      </c>
      <c r="C2045" s="223">
        <v>26</v>
      </c>
      <c r="D2045" s="223">
        <v>5</v>
      </c>
      <c r="E2045" s="223">
        <v>3250</v>
      </c>
    </row>
    <row r="2046" spans="1:5" ht="15">
      <c r="A2046" s="223" t="s">
        <v>449</v>
      </c>
      <c r="B2046" s="223">
        <v>21</v>
      </c>
      <c r="C2046" s="223">
        <v>26</v>
      </c>
      <c r="D2046" s="223">
        <v>7</v>
      </c>
      <c r="E2046" s="223">
        <v>36250</v>
      </c>
    </row>
    <row r="2047" spans="1:5" ht="15">
      <c r="A2047" s="223" t="s">
        <v>449</v>
      </c>
      <c r="B2047" s="223">
        <v>21</v>
      </c>
      <c r="C2047" s="223">
        <v>26</v>
      </c>
      <c r="D2047" s="223">
        <v>8</v>
      </c>
      <c r="E2047" s="223">
        <v>150</v>
      </c>
    </row>
    <row r="2048" spans="1:5" ht="15">
      <c r="A2048" s="223" t="s">
        <v>449</v>
      </c>
      <c r="B2048" s="223">
        <v>21</v>
      </c>
      <c r="C2048" s="223">
        <v>27</v>
      </c>
      <c r="D2048" s="223">
        <v>0</v>
      </c>
      <c r="E2048" s="223">
        <v>570</v>
      </c>
    </row>
    <row r="2049" spans="1:5" ht="15">
      <c r="A2049" s="223" t="s">
        <v>449</v>
      </c>
      <c r="B2049" s="223">
        <v>21</v>
      </c>
      <c r="C2049" s="223">
        <v>27</v>
      </c>
      <c r="D2049" s="223">
        <v>2</v>
      </c>
      <c r="E2049" s="223">
        <v>529962</v>
      </c>
    </row>
    <row r="2050" spans="1:5" ht="15">
      <c r="A2050" s="223" t="s">
        <v>449</v>
      </c>
      <c r="B2050" s="223">
        <v>21</v>
      </c>
      <c r="C2050" s="223">
        <v>27</v>
      </c>
      <c r="D2050" s="223">
        <v>3</v>
      </c>
      <c r="E2050" s="223">
        <v>96149</v>
      </c>
    </row>
    <row r="2051" spans="1:5" ht="15">
      <c r="A2051" s="223" t="s">
        <v>449</v>
      </c>
      <c r="B2051" s="223">
        <v>21</v>
      </c>
      <c r="C2051" s="223">
        <v>27</v>
      </c>
      <c r="D2051" s="223">
        <v>4</v>
      </c>
      <c r="E2051" s="223">
        <v>258278</v>
      </c>
    </row>
    <row r="2052" spans="1:5" ht="15">
      <c r="A2052" s="223" t="s">
        <v>449</v>
      </c>
      <c r="B2052" s="223">
        <v>21</v>
      </c>
      <c r="C2052" s="223">
        <v>27</v>
      </c>
      <c r="D2052" s="223">
        <v>5</v>
      </c>
      <c r="E2052" s="223">
        <v>18400</v>
      </c>
    </row>
    <row r="2053" spans="1:5" ht="15">
      <c r="A2053" s="223" t="s">
        <v>449</v>
      </c>
      <c r="B2053" s="223">
        <v>21</v>
      </c>
      <c r="C2053" s="223">
        <v>27</v>
      </c>
      <c r="D2053" s="223">
        <v>7</v>
      </c>
      <c r="E2053" s="223">
        <v>81100</v>
      </c>
    </row>
    <row r="2054" spans="1:5" ht="15">
      <c r="A2054" s="223" t="s">
        <v>449</v>
      </c>
      <c r="B2054" s="223">
        <v>21</v>
      </c>
      <c r="C2054" s="223">
        <v>27</v>
      </c>
      <c r="D2054" s="223">
        <v>8</v>
      </c>
      <c r="E2054" s="223">
        <v>525</v>
      </c>
    </row>
    <row r="2055" spans="1:5" ht="15">
      <c r="A2055" s="223" t="s">
        <v>449</v>
      </c>
      <c r="B2055" s="223">
        <v>21</v>
      </c>
      <c r="C2055" s="223">
        <v>31</v>
      </c>
      <c r="D2055" s="223">
        <v>4</v>
      </c>
      <c r="E2055" s="223">
        <v>5905</v>
      </c>
    </row>
    <row r="2056" spans="1:5" ht="15">
      <c r="A2056" s="223" t="s">
        <v>449</v>
      </c>
      <c r="B2056" s="223">
        <v>21</v>
      </c>
      <c r="C2056" s="223">
        <v>31</v>
      </c>
      <c r="D2056" s="223">
        <v>5</v>
      </c>
      <c r="E2056" s="223">
        <v>30</v>
      </c>
    </row>
    <row r="2057" spans="1:5" ht="15">
      <c r="A2057" s="223" t="s">
        <v>449</v>
      </c>
      <c r="B2057" s="223">
        <v>21</v>
      </c>
      <c r="C2057" s="223">
        <v>31</v>
      </c>
      <c r="D2057" s="223">
        <v>7</v>
      </c>
      <c r="E2057" s="223">
        <v>5800</v>
      </c>
    </row>
    <row r="2058" spans="1:5" ht="15">
      <c r="A2058" s="223" t="s">
        <v>449</v>
      </c>
      <c r="B2058" s="223">
        <v>21</v>
      </c>
      <c r="C2058" s="223">
        <v>31</v>
      </c>
      <c r="D2058" s="223">
        <v>8</v>
      </c>
      <c r="E2058" s="223">
        <v>3850</v>
      </c>
    </row>
    <row r="2059" spans="1:5" ht="15">
      <c r="A2059" s="223" t="s">
        <v>449</v>
      </c>
      <c r="B2059" s="223">
        <v>21</v>
      </c>
      <c r="C2059" s="223">
        <v>33</v>
      </c>
      <c r="D2059" s="223">
        <v>5</v>
      </c>
      <c r="E2059" s="223">
        <v>4050</v>
      </c>
    </row>
    <row r="2060" spans="1:5" ht="15">
      <c r="A2060" s="223" t="s">
        <v>449</v>
      </c>
      <c r="B2060" s="223">
        <v>24</v>
      </c>
      <c r="C2060" s="223">
        <v>27</v>
      </c>
      <c r="D2060" s="223">
        <v>2</v>
      </c>
      <c r="E2060" s="223">
        <v>17226</v>
      </c>
    </row>
    <row r="2061" spans="1:5" ht="15">
      <c r="A2061" s="223" t="s">
        <v>449</v>
      </c>
      <c r="B2061" s="223">
        <v>24</v>
      </c>
      <c r="C2061" s="223">
        <v>27</v>
      </c>
      <c r="D2061" s="223">
        <v>3</v>
      </c>
      <c r="E2061" s="223">
        <v>121127</v>
      </c>
    </row>
    <row r="2062" spans="1:5" ht="15">
      <c r="A2062" s="223" t="s">
        <v>449</v>
      </c>
      <c r="B2062" s="223">
        <v>24</v>
      </c>
      <c r="C2062" s="223">
        <v>27</v>
      </c>
      <c r="D2062" s="223">
        <v>4</v>
      </c>
      <c r="E2062" s="223">
        <v>93565</v>
      </c>
    </row>
    <row r="2063" spans="1:5" ht="15">
      <c r="A2063" s="223" t="s">
        <v>449</v>
      </c>
      <c r="B2063" s="223">
        <v>24</v>
      </c>
      <c r="C2063" s="223">
        <v>27</v>
      </c>
      <c r="D2063" s="223">
        <v>7</v>
      </c>
      <c r="E2063" s="223">
        <v>15000</v>
      </c>
    </row>
    <row r="2064" spans="1:5" ht="15">
      <c r="A2064" s="223" t="s">
        <v>332</v>
      </c>
      <c r="B2064" s="223">
        <v>21</v>
      </c>
      <c r="C2064" s="223">
        <v>21</v>
      </c>
      <c r="D2064" s="223">
        <v>2</v>
      </c>
      <c r="E2064" s="223">
        <v>388066</v>
      </c>
    </row>
    <row r="2065" spans="1:5" ht="15">
      <c r="A2065" s="223" t="s">
        <v>332</v>
      </c>
      <c r="B2065" s="223">
        <v>21</v>
      </c>
      <c r="C2065" s="223">
        <v>21</v>
      </c>
      <c r="D2065" s="223">
        <v>3</v>
      </c>
      <c r="E2065" s="223">
        <v>219665</v>
      </c>
    </row>
    <row r="2066" spans="1:5" ht="15">
      <c r="A2066" s="223" t="s">
        <v>332</v>
      </c>
      <c r="B2066" s="223">
        <v>21</v>
      </c>
      <c r="C2066" s="223">
        <v>21</v>
      </c>
      <c r="D2066" s="223">
        <v>4</v>
      </c>
      <c r="E2066" s="223">
        <v>196492</v>
      </c>
    </row>
    <row r="2067" spans="1:5" ht="15">
      <c r="A2067" s="223" t="s">
        <v>332</v>
      </c>
      <c r="B2067" s="223">
        <v>21</v>
      </c>
      <c r="C2067" s="223">
        <v>21</v>
      </c>
      <c r="D2067" s="223">
        <v>8</v>
      </c>
      <c r="E2067" s="223">
        <v>1700</v>
      </c>
    </row>
    <row r="2068" spans="1:5" ht="15">
      <c r="A2068" s="223" t="s">
        <v>332</v>
      </c>
      <c r="B2068" s="223">
        <v>21</v>
      </c>
      <c r="C2068" s="223">
        <v>24</v>
      </c>
      <c r="D2068" s="223">
        <v>2</v>
      </c>
      <c r="E2068" s="223">
        <v>216184</v>
      </c>
    </row>
    <row r="2069" spans="1:5" ht="15">
      <c r="A2069" s="223" t="s">
        <v>332</v>
      </c>
      <c r="B2069" s="223">
        <v>21</v>
      </c>
      <c r="C2069" s="223">
        <v>24</v>
      </c>
      <c r="D2069" s="223">
        <v>3</v>
      </c>
      <c r="E2069" s="223">
        <v>1146094</v>
      </c>
    </row>
    <row r="2070" spans="1:5" ht="15">
      <c r="A2070" s="223" t="s">
        <v>332</v>
      </c>
      <c r="B2070" s="223">
        <v>21</v>
      </c>
      <c r="C2070" s="223">
        <v>24</v>
      </c>
      <c r="D2070" s="223">
        <v>4</v>
      </c>
      <c r="E2070" s="223">
        <v>74276</v>
      </c>
    </row>
    <row r="2071" spans="1:5" ht="15">
      <c r="A2071" s="223" t="s">
        <v>332</v>
      </c>
      <c r="B2071" s="223">
        <v>21</v>
      </c>
      <c r="C2071" s="223">
        <v>24</v>
      </c>
      <c r="D2071" s="223">
        <v>8</v>
      </c>
      <c r="E2071" s="223">
        <v>800</v>
      </c>
    </row>
    <row r="2072" spans="1:5" ht="15">
      <c r="A2072" s="223" t="s">
        <v>332</v>
      </c>
      <c r="B2072" s="223">
        <v>21</v>
      </c>
      <c r="C2072" s="223">
        <v>26</v>
      </c>
      <c r="D2072" s="223">
        <v>2</v>
      </c>
      <c r="E2072" s="223">
        <v>8906229</v>
      </c>
    </row>
    <row r="2073" spans="1:5" ht="15">
      <c r="A2073" s="223" t="s">
        <v>332</v>
      </c>
      <c r="B2073" s="223">
        <v>21</v>
      </c>
      <c r="C2073" s="223">
        <v>26</v>
      </c>
      <c r="D2073" s="223">
        <v>4</v>
      </c>
      <c r="E2073" s="223">
        <v>3679426</v>
      </c>
    </row>
    <row r="2074" spans="1:5" ht="15">
      <c r="A2074" s="223" t="s">
        <v>332</v>
      </c>
      <c r="B2074" s="223">
        <v>21</v>
      </c>
      <c r="C2074" s="223">
        <v>26</v>
      </c>
      <c r="D2074" s="223">
        <v>5</v>
      </c>
      <c r="E2074" s="223">
        <v>117500</v>
      </c>
    </row>
    <row r="2075" spans="1:5" ht="15">
      <c r="A2075" s="223" t="s">
        <v>332</v>
      </c>
      <c r="B2075" s="223">
        <v>21</v>
      </c>
      <c r="C2075" s="223">
        <v>26</v>
      </c>
      <c r="D2075" s="223">
        <v>8</v>
      </c>
      <c r="E2075" s="223">
        <v>19250</v>
      </c>
    </row>
    <row r="2076" spans="1:5" ht="15">
      <c r="A2076" s="223" t="s">
        <v>332</v>
      </c>
      <c r="B2076" s="223">
        <v>21</v>
      </c>
      <c r="C2076" s="223">
        <v>27</v>
      </c>
      <c r="D2076" s="223">
        <v>2</v>
      </c>
      <c r="E2076" s="223">
        <v>13109574</v>
      </c>
    </row>
    <row r="2077" spans="1:5" ht="15">
      <c r="A2077" s="223" t="s">
        <v>332</v>
      </c>
      <c r="B2077" s="223">
        <v>21</v>
      </c>
      <c r="C2077" s="223">
        <v>27</v>
      </c>
      <c r="D2077" s="223">
        <v>3</v>
      </c>
      <c r="E2077" s="223">
        <v>9619314</v>
      </c>
    </row>
    <row r="2078" spans="1:5" ht="15">
      <c r="A2078" s="223" t="s">
        <v>332</v>
      </c>
      <c r="B2078" s="223">
        <v>21</v>
      </c>
      <c r="C2078" s="223">
        <v>27</v>
      </c>
      <c r="D2078" s="223">
        <v>4</v>
      </c>
      <c r="E2078" s="223">
        <v>10225428</v>
      </c>
    </row>
    <row r="2079" spans="1:5" ht="15">
      <c r="A2079" s="223" t="s">
        <v>332</v>
      </c>
      <c r="B2079" s="223">
        <v>21</v>
      </c>
      <c r="C2079" s="223">
        <v>27</v>
      </c>
      <c r="D2079" s="223">
        <v>5</v>
      </c>
      <c r="E2079" s="223">
        <v>43000</v>
      </c>
    </row>
    <row r="2080" spans="1:5" ht="15">
      <c r="A2080" s="223" t="s">
        <v>332</v>
      </c>
      <c r="B2080" s="223">
        <v>21</v>
      </c>
      <c r="C2080" s="223">
        <v>27</v>
      </c>
      <c r="D2080" s="223">
        <v>7</v>
      </c>
      <c r="E2080" s="223">
        <v>200100</v>
      </c>
    </row>
    <row r="2081" spans="1:5" ht="15">
      <c r="A2081" s="223" t="s">
        <v>332</v>
      </c>
      <c r="B2081" s="223">
        <v>21</v>
      </c>
      <c r="C2081" s="223">
        <v>27</v>
      </c>
      <c r="D2081" s="223">
        <v>8</v>
      </c>
      <c r="E2081" s="223">
        <v>19250</v>
      </c>
    </row>
    <row r="2082" spans="1:5" ht="15">
      <c r="A2082" s="223" t="s">
        <v>332</v>
      </c>
      <c r="B2082" s="223">
        <v>21</v>
      </c>
      <c r="C2082" s="223">
        <v>33</v>
      </c>
      <c r="D2082" s="223">
        <v>5</v>
      </c>
      <c r="E2082" s="223">
        <v>60500</v>
      </c>
    </row>
    <row r="2083" spans="1:5" ht="15">
      <c r="A2083" s="223" t="s">
        <v>332</v>
      </c>
      <c r="B2083" s="223">
        <v>21</v>
      </c>
      <c r="C2083" s="223">
        <v>34</v>
      </c>
      <c r="D2083" s="223">
        <v>2</v>
      </c>
      <c r="E2083" s="223">
        <v>327709</v>
      </c>
    </row>
    <row r="2084" spans="1:5" ht="15">
      <c r="A2084" s="223" t="s">
        <v>332</v>
      </c>
      <c r="B2084" s="223">
        <v>21</v>
      </c>
      <c r="C2084" s="223">
        <v>34</v>
      </c>
      <c r="D2084" s="223">
        <v>4</v>
      </c>
      <c r="E2084" s="223">
        <v>127982</v>
      </c>
    </row>
    <row r="2085" spans="1:5" ht="15">
      <c r="A2085" s="223" t="s">
        <v>332</v>
      </c>
      <c r="B2085" s="223">
        <v>23</v>
      </c>
      <c r="C2085" s="223">
        <v>27</v>
      </c>
      <c r="D2085" s="223">
        <v>3</v>
      </c>
      <c r="E2085" s="223">
        <v>89599</v>
      </c>
    </row>
    <row r="2086" spans="1:5" ht="15">
      <c r="A2086" s="223" t="s">
        <v>332</v>
      </c>
      <c r="B2086" s="223">
        <v>24</v>
      </c>
      <c r="C2086" s="223">
        <v>21</v>
      </c>
      <c r="D2086" s="223">
        <v>3</v>
      </c>
      <c r="E2086" s="223">
        <v>107461</v>
      </c>
    </row>
    <row r="2087" spans="1:5" ht="15">
      <c r="A2087" s="223" t="s">
        <v>332</v>
      </c>
      <c r="B2087" s="223">
        <v>24</v>
      </c>
      <c r="C2087" s="223">
        <v>21</v>
      </c>
      <c r="D2087" s="223">
        <v>4</v>
      </c>
      <c r="E2087" s="223">
        <v>47273</v>
      </c>
    </row>
    <row r="2088" spans="1:5" ht="15">
      <c r="A2088" s="223" t="s">
        <v>332</v>
      </c>
      <c r="B2088" s="223">
        <v>24</v>
      </c>
      <c r="C2088" s="223">
        <v>27</v>
      </c>
      <c r="D2088" s="223">
        <v>2</v>
      </c>
      <c r="E2088" s="223">
        <v>1682675</v>
      </c>
    </row>
    <row r="2089" spans="1:5" ht="15">
      <c r="A2089" s="223" t="s">
        <v>332</v>
      </c>
      <c r="B2089" s="223">
        <v>24</v>
      </c>
      <c r="C2089" s="223">
        <v>27</v>
      </c>
      <c r="D2089" s="223">
        <v>3</v>
      </c>
      <c r="E2089" s="223">
        <v>708028</v>
      </c>
    </row>
    <row r="2090" spans="1:5" ht="15">
      <c r="A2090" s="223" t="s">
        <v>332</v>
      </c>
      <c r="B2090" s="223">
        <v>24</v>
      </c>
      <c r="C2090" s="223">
        <v>27</v>
      </c>
      <c r="D2090" s="223">
        <v>4</v>
      </c>
      <c r="E2090" s="223">
        <v>1085820</v>
      </c>
    </row>
    <row r="2091" spans="1:5" ht="15">
      <c r="A2091" s="223" t="s">
        <v>332</v>
      </c>
      <c r="B2091" s="223">
        <v>24</v>
      </c>
      <c r="C2091" s="223">
        <v>32</v>
      </c>
      <c r="D2091" s="223">
        <v>5</v>
      </c>
      <c r="E2091" s="223">
        <v>38000</v>
      </c>
    </row>
    <row r="2092" spans="1:5" ht="15">
      <c r="A2092" s="223" t="s">
        <v>334</v>
      </c>
      <c r="B2092" s="223">
        <v>21</v>
      </c>
      <c r="C2092" s="223">
        <v>21</v>
      </c>
      <c r="D2092" s="223">
        <v>2</v>
      </c>
      <c r="E2092" s="223">
        <v>142601</v>
      </c>
    </row>
    <row r="2093" spans="1:5" ht="15">
      <c r="A2093" s="223" t="s">
        <v>334</v>
      </c>
      <c r="B2093" s="223">
        <v>21</v>
      </c>
      <c r="C2093" s="223">
        <v>21</v>
      </c>
      <c r="D2093" s="223">
        <v>3</v>
      </c>
      <c r="E2093" s="223">
        <v>57283</v>
      </c>
    </row>
    <row r="2094" spans="1:5" ht="15">
      <c r="A2094" s="223" t="s">
        <v>334</v>
      </c>
      <c r="B2094" s="223">
        <v>21</v>
      </c>
      <c r="C2094" s="223">
        <v>21</v>
      </c>
      <c r="D2094" s="223">
        <v>4</v>
      </c>
      <c r="E2094" s="223">
        <v>69997</v>
      </c>
    </row>
    <row r="2095" spans="1:5" ht="15">
      <c r="A2095" s="223" t="s">
        <v>334</v>
      </c>
      <c r="B2095" s="223">
        <v>21</v>
      </c>
      <c r="C2095" s="223">
        <v>21</v>
      </c>
      <c r="D2095" s="223">
        <v>5</v>
      </c>
      <c r="E2095" s="223">
        <v>900</v>
      </c>
    </row>
    <row r="2096" spans="1:5" ht="15">
      <c r="A2096" s="223" t="s">
        <v>334</v>
      </c>
      <c r="B2096" s="223">
        <v>21</v>
      </c>
      <c r="C2096" s="223">
        <v>21</v>
      </c>
      <c r="D2096" s="223">
        <v>7</v>
      </c>
      <c r="E2096" s="223">
        <v>3500</v>
      </c>
    </row>
    <row r="2097" spans="1:5" ht="15">
      <c r="A2097" s="223" t="s">
        <v>334</v>
      </c>
      <c r="B2097" s="223">
        <v>21</v>
      </c>
      <c r="C2097" s="223">
        <v>21</v>
      </c>
      <c r="D2097" s="223">
        <v>8</v>
      </c>
      <c r="E2097" s="223">
        <v>500</v>
      </c>
    </row>
    <row r="2098" spans="1:5" ht="15">
      <c r="A2098" s="223" t="s">
        <v>334</v>
      </c>
      <c r="B2098" s="223">
        <v>21</v>
      </c>
      <c r="C2098" s="223">
        <v>24</v>
      </c>
      <c r="D2098" s="223">
        <v>2</v>
      </c>
      <c r="E2098" s="223">
        <v>46454</v>
      </c>
    </row>
    <row r="2099" spans="1:5" ht="15">
      <c r="A2099" s="223" t="s">
        <v>334</v>
      </c>
      <c r="B2099" s="223">
        <v>21</v>
      </c>
      <c r="C2099" s="223">
        <v>24</v>
      </c>
      <c r="D2099" s="223">
        <v>4</v>
      </c>
      <c r="E2099" s="223">
        <v>18321</v>
      </c>
    </row>
    <row r="2100" spans="1:5" ht="15">
      <c r="A2100" s="223" t="s">
        <v>334</v>
      </c>
      <c r="B2100" s="223">
        <v>21</v>
      </c>
      <c r="C2100" s="223">
        <v>26</v>
      </c>
      <c r="D2100" s="223">
        <v>2</v>
      </c>
      <c r="E2100" s="223">
        <v>415546</v>
      </c>
    </row>
    <row r="2101" spans="1:5" ht="15">
      <c r="A2101" s="223" t="s">
        <v>334</v>
      </c>
      <c r="B2101" s="223">
        <v>21</v>
      </c>
      <c r="C2101" s="223">
        <v>26</v>
      </c>
      <c r="D2101" s="223">
        <v>4</v>
      </c>
      <c r="E2101" s="223">
        <v>159119</v>
      </c>
    </row>
    <row r="2102" spans="1:5" ht="15">
      <c r="A2102" s="223" t="s">
        <v>334</v>
      </c>
      <c r="B2102" s="223">
        <v>21</v>
      </c>
      <c r="C2102" s="223">
        <v>26</v>
      </c>
      <c r="D2102" s="223">
        <v>5</v>
      </c>
      <c r="E2102" s="223">
        <v>450</v>
      </c>
    </row>
    <row r="2103" spans="1:5" ht="15">
      <c r="A2103" s="223" t="s">
        <v>334</v>
      </c>
      <c r="B2103" s="223">
        <v>21</v>
      </c>
      <c r="C2103" s="223">
        <v>26</v>
      </c>
      <c r="D2103" s="223">
        <v>7</v>
      </c>
      <c r="E2103" s="223">
        <v>126051</v>
      </c>
    </row>
    <row r="2104" spans="1:5" ht="15">
      <c r="A2104" s="223" t="s">
        <v>334</v>
      </c>
      <c r="B2104" s="223">
        <v>21</v>
      </c>
      <c r="C2104" s="223">
        <v>27</v>
      </c>
      <c r="D2104" s="223">
        <v>2</v>
      </c>
      <c r="E2104" s="223">
        <v>681554</v>
      </c>
    </row>
    <row r="2105" spans="1:5" ht="15">
      <c r="A2105" s="223" t="s">
        <v>334</v>
      </c>
      <c r="B2105" s="223">
        <v>21</v>
      </c>
      <c r="C2105" s="223">
        <v>27</v>
      </c>
      <c r="D2105" s="223">
        <v>3</v>
      </c>
      <c r="E2105" s="223">
        <v>775074</v>
      </c>
    </row>
    <row r="2106" spans="1:5" ht="15">
      <c r="A2106" s="223" t="s">
        <v>334</v>
      </c>
      <c r="B2106" s="223">
        <v>21</v>
      </c>
      <c r="C2106" s="223">
        <v>27</v>
      </c>
      <c r="D2106" s="223">
        <v>4</v>
      </c>
      <c r="E2106" s="223">
        <v>791826</v>
      </c>
    </row>
    <row r="2107" spans="1:5" ht="15">
      <c r="A2107" s="223" t="s">
        <v>334</v>
      </c>
      <c r="B2107" s="223">
        <v>21</v>
      </c>
      <c r="C2107" s="223">
        <v>27</v>
      </c>
      <c r="D2107" s="223">
        <v>5</v>
      </c>
      <c r="E2107" s="223">
        <v>29150</v>
      </c>
    </row>
    <row r="2108" spans="1:5" ht="15">
      <c r="A2108" s="223" t="s">
        <v>334</v>
      </c>
      <c r="B2108" s="223">
        <v>21</v>
      </c>
      <c r="C2108" s="223">
        <v>27</v>
      </c>
      <c r="D2108" s="223">
        <v>7</v>
      </c>
      <c r="E2108" s="223">
        <v>65500</v>
      </c>
    </row>
    <row r="2109" spans="1:5" ht="15">
      <c r="A2109" s="223" t="s">
        <v>334</v>
      </c>
      <c r="B2109" s="223">
        <v>21</v>
      </c>
      <c r="C2109" s="223">
        <v>31</v>
      </c>
      <c r="D2109" s="223">
        <v>7</v>
      </c>
      <c r="E2109" s="223">
        <v>15600</v>
      </c>
    </row>
    <row r="2110" spans="1:5" ht="15">
      <c r="A2110" s="223" t="s">
        <v>334</v>
      </c>
      <c r="B2110" s="223">
        <v>21</v>
      </c>
      <c r="C2110" s="223">
        <v>31</v>
      </c>
      <c r="D2110" s="223">
        <v>8</v>
      </c>
      <c r="E2110" s="223">
        <v>500</v>
      </c>
    </row>
    <row r="2111" spans="1:5" ht="15">
      <c r="A2111" s="223" t="s">
        <v>334</v>
      </c>
      <c r="B2111" s="223">
        <v>21</v>
      </c>
      <c r="C2111" s="223">
        <v>33</v>
      </c>
      <c r="D2111" s="223">
        <v>5</v>
      </c>
      <c r="E2111" s="223">
        <v>6000</v>
      </c>
    </row>
    <row r="2112" spans="1:5" ht="15">
      <c r="A2112" s="223" t="s">
        <v>334</v>
      </c>
      <c r="B2112" s="223">
        <v>24</v>
      </c>
      <c r="C2112" s="223">
        <v>27</v>
      </c>
      <c r="D2112" s="223">
        <v>2</v>
      </c>
      <c r="E2112" s="223">
        <v>77434</v>
      </c>
    </row>
    <row r="2113" spans="1:5" ht="15">
      <c r="A2113" s="223" t="s">
        <v>334</v>
      </c>
      <c r="B2113" s="223">
        <v>24</v>
      </c>
      <c r="C2113" s="223">
        <v>27</v>
      </c>
      <c r="D2113" s="223">
        <v>3</v>
      </c>
      <c r="E2113" s="223">
        <v>113531</v>
      </c>
    </row>
    <row r="2114" spans="1:5" ht="15">
      <c r="A2114" s="223" t="s">
        <v>334</v>
      </c>
      <c r="B2114" s="223">
        <v>24</v>
      </c>
      <c r="C2114" s="223">
        <v>27</v>
      </c>
      <c r="D2114" s="223">
        <v>4</v>
      </c>
      <c r="E2114" s="223">
        <v>100640</v>
      </c>
    </row>
    <row r="2115" spans="1:5" ht="15">
      <c r="A2115" s="223" t="s">
        <v>336</v>
      </c>
      <c r="B2115" s="223">
        <v>21</v>
      </c>
      <c r="C2115" s="223">
        <v>21</v>
      </c>
      <c r="D2115" s="223">
        <v>7</v>
      </c>
      <c r="E2115" s="223">
        <v>46500</v>
      </c>
    </row>
    <row r="2116" spans="1:5" ht="15">
      <c r="A2116" s="223" t="s">
        <v>336</v>
      </c>
      <c r="B2116" s="223">
        <v>21</v>
      </c>
      <c r="C2116" s="223">
        <v>26</v>
      </c>
      <c r="D2116" s="223">
        <v>2</v>
      </c>
      <c r="E2116" s="223">
        <v>38781</v>
      </c>
    </row>
    <row r="2117" spans="1:5" ht="15">
      <c r="A2117" s="223" t="s">
        <v>336</v>
      </c>
      <c r="B2117" s="223">
        <v>21</v>
      </c>
      <c r="C2117" s="223">
        <v>26</v>
      </c>
      <c r="D2117" s="223">
        <v>4</v>
      </c>
      <c r="E2117" s="223">
        <v>13861</v>
      </c>
    </row>
    <row r="2118" spans="1:5" ht="15">
      <c r="A2118" s="223" t="s">
        <v>336</v>
      </c>
      <c r="B2118" s="223">
        <v>21</v>
      </c>
      <c r="C2118" s="223">
        <v>26</v>
      </c>
      <c r="D2118" s="223">
        <v>5</v>
      </c>
      <c r="E2118" s="223">
        <v>1300</v>
      </c>
    </row>
    <row r="2119" spans="1:5" ht="15">
      <c r="A2119" s="223" t="s">
        <v>336</v>
      </c>
      <c r="B2119" s="223">
        <v>21</v>
      </c>
      <c r="C2119" s="223">
        <v>26</v>
      </c>
      <c r="D2119" s="223">
        <v>7</v>
      </c>
      <c r="E2119" s="223">
        <v>85000</v>
      </c>
    </row>
    <row r="2120" spans="1:5" ht="15">
      <c r="A2120" s="223" t="s">
        <v>336</v>
      </c>
      <c r="B2120" s="223">
        <v>21</v>
      </c>
      <c r="C2120" s="223">
        <v>27</v>
      </c>
      <c r="D2120" s="223">
        <v>2</v>
      </c>
      <c r="E2120" s="223">
        <v>220125</v>
      </c>
    </row>
    <row r="2121" spans="1:5" ht="15">
      <c r="A2121" s="223" t="s">
        <v>336</v>
      </c>
      <c r="B2121" s="223">
        <v>21</v>
      </c>
      <c r="C2121" s="223">
        <v>27</v>
      </c>
      <c r="D2121" s="223">
        <v>3</v>
      </c>
      <c r="E2121" s="223">
        <v>117113</v>
      </c>
    </row>
    <row r="2122" spans="1:5" ht="15">
      <c r="A2122" s="223" t="s">
        <v>336</v>
      </c>
      <c r="B2122" s="223">
        <v>21</v>
      </c>
      <c r="C2122" s="223">
        <v>27</v>
      </c>
      <c r="D2122" s="223">
        <v>4</v>
      </c>
      <c r="E2122" s="223">
        <v>167240</v>
      </c>
    </row>
    <row r="2123" spans="1:5" ht="15">
      <c r="A2123" s="223" t="s">
        <v>336</v>
      </c>
      <c r="B2123" s="223">
        <v>21</v>
      </c>
      <c r="C2123" s="223">
        <v>27</v>
      </c>
      <c r="D2123" s="223">
        <v>5</v>
      </c>
      <c r="E2123" s="223">
        <v>3900</v>
      </c>
    </row>
    <row r="2124" spans="1:5" ht="15">
      <c r="A2124" s="223" t="s">
        <v>336</v>
      </c>
      <c r="B2124" s="223">
        <v>24</v>
      </c>
      <c r="C2124" s="223">
        <v>26</v>
      </c>
      <c r="D2124" s="223">
        <v>2</v>
      </c>
      <c r="E2124" s="223">
        <v>54392</v>
      </c>
    </row>
    <row r="2125" spans="1:5" ht="15">
      <c r="A2125" s="223" t="s">
        <v>336</v>
      </c>
      <c r="B2125" s="223">
        <v>24</v>
      </c>
      <c r="C2125" s="223">
        <v>26</v>
      </c>
      <c r="D2125" s="223">
        <v>4</v>
      </c>
      <c r="E2125" s="223">
        <v>19917</v>
      </c>
    </row>
    <row r="2126" spans="1:5" ht="15">
      <c r="A2126" s="223" t="s">
        <v>336</v>
      </c>
      <c r="B2126" s="223">
        <v>24</v>
      </c>
      <c r="C2126" s="223">
        <v>27</v>
      </c>
      <c r="D2126" s="223">
        <v>3</v>
      </c>
      <c r="E2126" s="223">
        <v>30901</v>
      </c>
    </row>
    <row r="2127" spans="1:5" ht="15">
      <c r="A2127" s="223" t="s">
        <v>336</v>
      </c>
      <c r="B2127" s="223">
        <v>24</v>
      </c>
      <c r="C2127" s="223">
        <v>27</v>
      </c>
      <c r="D2127" s="223">
        <v>4</v>
      </c>
      <c r="E2127" s="223">
        <v>19909</v>
      </c>
    </row>
    <row r="2128" spans="1:5" ht="15">
      <c r="A2128" s="223" t="s">
        <v>338</v>
      </c>
      <c r="B2128" s="223">
        <v>21</v>
      </c>
      <c r="C2128" s="223">
        <v>21</v>
      </c>
      <c r="D2128" s="223">
        <v>2</v>
      </c>
      <c r="E2128" s="223">
        <v>133756</v>
      </c>
    </row>
    <row r="2129" spans="1:5" ht="15">
      <c r="A2129" s="223" t="s">
        <v>338</v>
      </c>
      <c r="B2129" s="223">
        <v>21</v>
      </c>
      <c r="C2129" s="223">
        <v>21</v>
      </c>
      <c r="D2129" s="223">
        <v>3</v>
      </c>
      <c r="E2129" s="223">
        <v>54563</v>
      </c>
    </row>
    <row r="2130" spans="1:5" ht="15">
      <c r="A2130" s="223" t="s">
        <v>338</v>
      </c>
      <c r="B2130" s="223">
        <v>21</v>
      </c>
      <c r="C2130" s="223">
        <v>21</v>
      </c>
      <c r="D2130" s="223">
        <v>4</v>
      </c>
      <c r="E2130" s="223">
        <v>63373</v>
      </c>
    </row>
    <row r="2131" spans="1:5" ht="15">
      <c r="A2131" s="223" t="s">
        <v>338</v>
      </c>
      <c r="B2131" s="223">
        <v>21</v>
      </c>
      <c r="C2131" s="223">
        <v>21</v>
      </c>
      <c r="D2131" s="223">
        <v>5</v>
      </c>
      <c r="E2131" s="223">
        <v>1350</v>
      </c>
    </row>
    <row r="2132" spans="1:5" ht="15">
      <c r="A2132" s="223" t="s">
        <v>338</v>
      </c>
      <c r="B2132" s="223">
        <v>21</v>
      </c>
      <c r="C2132" s="223">
        <v>21</v>
      </c>
      <c r="D2132" s="223">
        <v>7</v>
      </c>
      <c r="E2132" s="223">
        <v>9500</v>
      </c>
    </row>
    <row r="2133" spans="1:5" ht="15">
      <c r="A2133" s="223" t="s">
        <v>338</v>
      </c>
      <c r="B2133" s="223">
        <v>21</v>
      </c>
      <c r="C2133" s="223">
        <v>21</v>
      </c>
      <c r="D2133" s="223">
        <v>8</v>
      </c>
      <c r="E2133" s="223">
        <v>500</v>
      </c>
    </row>
    <row r="2134" spans="1:5" ht="15">
      <c r="A2134" s="223" t="s">
        <v>338</v>
      </c>
      <c r="B2134" s="223">
        <v>21</v>
      </c>
      <c r="C2134" s="223">
        <v>26</v>
      </c>
      <c r="D2134" s="223">
        <v>2</v>
      </c>
      <c r="E2134" s="223">
        <v>230772</v>
      </c>
    </row>
    <row r="2135" spans="1:5" ht="15">
      <c r="A2135" s="223" t="s">
        <v>338</v>
      </c>
      <c r="B2135" s="223">
        <v>21</v>
      </c>
      <c r="C2135" s="223">
        <v>26</v>
      </c>
      <c r="D2135" s="223">
        <v>3</v>
      </c>
      <c r="E2135" s="223">
        <v>30084</v>
      </c>
    </row>
    <row r="2136" spans="1:5" ht="15">
      <c r="A2136" s="223" t="s">
        <v>338</v>
      </c>
      <c r="B2136" s="223">
        <v>21</v>
      </c>
      <c r="C2136" s="223">
        <v>26</v>
      </c>
      <c r="D2136" s="223">
        <v>4</v>
      </c>
      <c r="E2136" s="223">
        <v>90999</v>
      </c>
    </row>
    <row r="2137" spans="1:5" ht="15">
      <c r="A2137" s="223" t="s">
        <v>338</v>
      </c>
      <c r="B2137" s="223">
        <v>21</v>
      </c>
      <c r="C2137" s="223">
        <v>26</v>
      </c>
      <c r="D2137" s="223">
        <v>5</v>
      </c>
      <c r="E2137" s="223">
        <v>114860</v>
      </c>
    </row>
    <row r="2138" spans="1:5" ht="15">
      <c r="A2138" s="223" t="s">
        <v>338</v>
      </c>
      <c r="B2138" s="223">
        <v>21</v>
      </c>
      <c r="C2138" s="223">
        <v>26</v>
      </c>
      <c r="D2138" s="223">
        <v>7</v>
      </c>
      <c r="E2138" s="223">
        <v>318000</v>
      </c>
    </row>
    <row r="2139" spans="1:5" ht="15">
      <c r="A2139" s="223" t="s">
        <v>338</v>
      </c>
      <c r="B2139" s="223">
        <v>21</v>
      </c>
      <c r="C2139" s="223">
        <v>27</v>
      </c>
      <c r="D2139" s="223">
        <v>0</v>
      </c>
      <c r="E2139" s="223">
        <v>500</v>
      </c>
    </row>
    <row r="2140" spans="1:5" ht="15">
      <c r="A2140" s="223" t="s">
        <v>338</v>
      </c>
      <c r="B2140" s="223">
        <v>21</v>
      </c>
      <c r="C2140" s="223">
        <v>27</v>
      </c>
      <c r="D2140" s="223">
        <v>2</v>
      </c>
      <c r="E2140" s="223">
        <v>725792</v>
      </c>
    </row>
    <row r="2141" spans="1:5" ht="15">
      <c r="A2141" s="223" t="s">
        <v>338</v>
      </c>
      <c r="B2141" s="223">
        <v>21</v>
      </c>
      <c r="C2141" s="223">
        <v>27</v>
      </c>
      <c r="D2141" s="223">
        <v>3</v>
      </c>
      <c r="E2141" s="223">
        <v>459802</v>
      </c>
    </row>
    <row r="2142" spans="1:5" ht="15">
      <c r="A2142" s="223" t="s">
        <v>338</v>
      </c>
      <c r="B2142" s="223">
        <v>21</v>
      </c>
      <c r="C2142" s="223">
        <v>27</v>
      </c>
      <c r="D2142" s="223">
        <v>4</v>
      </c>
      <c r="E2142" s="223">
        <v>550437</v>
      </c>
    </row>
    <row r="2143" spans="1:5" ht="15">
      <c r="A2143" s="223" t="s">
        <v>338</v>
      </c>
      <c r="B2143" s="223">
        <v>21</v>
      </c>
      <c r="C2143" s="223">
        <v>27</v>
      </c>
      <c r="D2143" s="223">
        <v>5</v>
      </c>
      <c r="E2143" s="223">
        <v>19240</v>
      </c>
    </row>
    <row r="2144" spans="1:5" ht="15">
      <c r="A2144" s="223" t="s">
        <v>338</v>
      </c>
      <c r="B2144" s="223">
        <v>21</v>
      </c>
      <c r="C2144" s="223">
        <v>27</v>
      </c>
      <c r="D2144" s="223">
        <v>7</v>
      </c>
      <c r="E2144" s="223">
        <v>10605</v>
      </c>
    </row>
    <row r="2145" spans="1:5" ht="15">
      <c r="A2145" s="223" t="s">
        <v>338</v>
      </c>
      <c r="B2145" s="223">
        <v>21</v>
      </c>
      <c r="C2145" s="223">
        <v>31</v>
      </c>
      <c r="D2145" s="223">
        <v>2</v>
      </c>
      <c r="E2145" s="223">
        <v>4448</v>
      </c>
    </row>
    <row r="2146" spans="1:5" ht="15">
      <c r="A2146" s="223" t="s">
        <v>338</v>
      </c>
      <c r="B2146" s="223">
        <v>21</v>
      </c>
      <c r="C2146" s="223">
        <v>31</v>
      </c>
      <c r="D2146" s="223">
        <v>4</v>
      </c>
      <c r="E2146" s="223">
        <v>1103</v>
      </c>
    </row>
    <row r="2147" spans="1:5" ht="15">
      <c r="A2147" s="223" t="s">
        <v>338</v>
      </c>
      <c r="B2147" s="223">
        <v>21</v>
      </c>
      <c r="C2147" s="223">
        <v>31</v>
      </c>
      <c r="D2147" s="223">
        <v>7</v>
      </c>
      <c r="E2147" s="223">
        <v>8000</v>
      </c>
    </row>
    <row r="2148" spans="1:5" ht="15">
      <c r="A2148" s="223" t="s">
        <v>338</v>
      </c>
      <c r="B2148" s="223">
        <v>21</v>
      </c>
      <c r="C2148" s="223">
        <v>32</v>
      </c>
      <c r="D2148" s="223">
        <v>5</v>
      </c>
      <c r="E2148" s="223">
        <v>9000</v>
      </c>
    </row>
    <row r="2149" spans="1:5" ht="15">
      <c r="A2149" s="223" t="s">
        <v>338</v>
      </c>
      <c r="B2149" s="223">
        <v>21</v>
      </c>
      <c r="C2149" s="223">
        <v>32</v>
      </c>
      <c r="D2149" s="223">
        <v>7</v>
      </c>
      <c r="E2149" s="223">
        <v>1000</v>
      </c>
    </row>
    <row r="2150" spans="1:5" ht="15">
      <c r="A2150" s="223" t="s">
        <v>338</v>
      </c>
      <c r="B2150" s="223">
        <v>21</v>
      </c>
      <c r="C2150" s="223">
        <v>33</v>
      </c>
      <c r="D2150" s="223">
        <v>5</v>
      </c>
      <c r="E2150" s="223">
        <v>5000</v>
      </c>
    </row>
    <row r="2151" spans="1:5" ht="15">
      <c r="A2151" s="223" t="s">
        <v>338</v>
      </c>
      <c r="B2151" s="223">
        <v>21</v>
      </c>
      <c r="C2151" s="223">
        <v>34</v>
      </c>
      <c r="D2151" s="223">
        <v>2</v>
      </c>
      <c r="E2151" s="223">
        <v>21911</v>
      </c>
    </row>
    <row r="2152" spans="1:5" ht="15">
      <c r="A2152" s="223" t="s">
        <v>338</v>
      </c>
      <c r="B2152" s="223">
        <v>21</v>
      </c>
      <c r="C2152" s="223">
        <v>34</v>
      </c>
      <c r="D2152" s="223">
        <v>4</v>
      </c>
      <c r="E2152" s="223">
        <v>5095</v>
      </c>
    </row>
    <row r="2153" spans="1:5" ht="15">
      <c r="A2153" s="223" t="s">
        <v>338</v>
      </c>
      <c r="B2153" s="223">
        <v>24</v>
      </c>
      <c r="C2153" s="223">
        <v>21</v>
      </c>
      <c r="D2153" s="223">
        <v>5</v>
      </c>
      <c r="E2153" s="223">
        <v>16756</v>
      </c>
    </row>
    <row r="2154" spans="1:5" ht="15">
      <c r="A2154" s="223" t="s">
        <v>338</v>
      </c>
      <c r="B2154" s="223">
        <v>24</v>
      </c>
      <c r="C2154" s="223">
        <v>27</v>
      </c>
      <c r="D2154" s="223">
        <v>2</v>
      </c>
      <c r="E2154" s="223">
        <v>281816</v>
      </c>
    </row>
    <row r="2155" spans="1:5" ht="15">
      <c r="A2155" s="223" t="s">
        <v>338</v>
      </c>
      <c r="B2155" s="223">
        <v>24</v>
      </c>
      <c r="C2155" s="223">
        <v>27</v>
      </c>
      <c r="D2155" s="223">
        <v>3</v>
      </c>
      <c r="E2155" s="223">
        <v>14957</v>
      </c>
    </row>
    <row r="2156" spans="1:5" ht="15">
      <c r="A2156" s="223" t="s">
        <v>338</v>
      </c>
      <c r="B2156" s="223">
        <v>24</v>
      </c>
      <c r="C2156" s="223">
        <v>27</v>
      </c>
      <c r="D2156" s="223">
        <v>4</v>
      </c>
      <c r="E2156" s="223">
        <v>112085</v>
      </c>
    </row>
    <row r="2157" spans="1:5" ht="15">
      <c r="A2157" s="223" t="s">
        <v>1509</v>
      </c>
      <c r="B2157" s="223">
        <v>21</v>
      </c>
      <c r="C2157" s="223">
        <v>23</v>
      </c>
      <c r="D2157" s="223">
        <v>2</v>
      </c>
      <c r="E2157" s="223">
        <v>33219</v>
      </c>
    </row>
    <row r="2158" spans="1:5" ht="15">
      <c r="A2158" s="223" t="s">
        <v>1509</v>
      </c>
      <c r="B2158" s="223">
        <v>21</v>
      </c>
      <c r="C2158" s="223">
        <v>26</v>
      </c>
      <c r="D2158" s="223">
        <v>2</v>
      </c>
      <c r="E2158" s="223">
        <v>17230</v>
      </c>
    </row>
    <row r="2159" spans="1:5" ht="15">
      <c r="A2159" s="223" t="s">
        <v>1509</v>
      </c>
      <c r="B2159" s="223">
        <v>21</v>
      </c>
      <c r="C2159" s="223">
        <v>27</v>
      </c>
      <c r="D2159" s="223">
        <v>2</v>
      </c>
      <c r="E2159" s="223">
        <v>76246</v>
      </c>
    </row>
    <row r="2160" spans="1:5" ht="15">
      <c r="A2160" s="223" t="s">
        <v>1509</v>
      </c>
      <c r="B2160" s="223">
        <v>21</v>
      </c>
      <c r="C2160" s="223">
        <v>27</v>
      </c>
      <c r="D2160" s="223">
        <v>3</v>
      </c>
      <c r="E2160" s="223">
        <v>6146</v>
      </c>
    </row>
    <row r="2161" spans="1:5" ht="15">
      <c r="A2161" s="223" t="s">
        <v>1509</v>
      </c>
      <c r="B2161" s="223">
        <v>24</v>
      </c>
      <c r="C2161" s="223">
        <v>26</v>
      </c>
      <c r="D2161" s="223">
        <v>7</v>
      </c>
      <c r="E2161" s="223">
        <v>14437</v>
      </c>
    </row>
    <row r="2162" spans="1:5" ht="15">
      <c r="A2162" s="223" t="s">
        <v>964</v>
      </c>
      <c r="B2162" s="223">
        <v>21</v>
      </c>
      <c r="C2162" s="223">
        <v>23</v>
      </c>
      <c r="D2162" s="223">
        <v>2</v>
      </c>
      <c r="E2162" s="223">
        <v>111038</v>
      </c>
    </row>
    <row r="2163" spans="1:5" ht="15">
      <c r="A2163" s="223" t="s">
        <v>964</v>
      </c>
      <c r="B2163" s="223">
        <v>21</v>
      </c>
      <c r="C2163" s="223">
        <v>23</v>
      </c>
      <c r="D2163" s="223">
        <v>3</v>
      </c>
      <c r="E2163" s="223">
        <v>16365</v>
      </c>
    </row>
    <row r="2164" spans="1:5" ht="15">
      <c r="A2164" s="223" t="s">
        <v>964</v>
      </c>
      <c r="B2164" s="223">
        <v>21</v>
      </c>
      <c r="C2164" s="223">
        <v>26</v>
      </c>
      <c r="D2164" s="223">
        <v>2</v>
      </c>
      <c r="E2164" s="223">
        <v>34459</v>
      </c>
    </row>
    <row r="2165" spans="1:5" ht="15">
      <c r="A2165" s="223" t="s">
        <v>964</v>
      </c>
      <c r="B2165" s="223">
        <v>21</v>
      </c>
      <c r="C2165" s="223">
        <v>26</v>
      </c>
      <c r="D2165" s="223">
        <v>4</v>
      </c>
      <c r="E2165" s="223">
        <v>15802</v>
      </c>
    </row>
    <row r="2166" spans="1:5" ht="15">
      <c r="A2166" s="223" t="s">
        <v>964</v>
      </c>
      <c r="B2166" s="223">
        <v>21</v>
      </c>
      <c r="C2166" s="223">
        <v>26</v>
      </c>
      <c r="D2166" s="223">
        <v>7</v>
      </c>
      <c r="E2166" s="223">
        <v>122379</v>
      </c>
    </row>
    <row r="2167" spans="1:5" ht="15">
      <c r="A2167" s="223" t="s">
        <v>964</v>
      </c>
      <c r="B2167" s="223">
        <v>21</v>
      </c>
      <c r="C2167" s="223">
        <v>27</v>
      </c>
      <c r="D2167" s="223">
        <v>2</v>
      </c>
      <c r="E2167" s="223">
        <v>388949</v>
      </c>
    </row>
    <row r="2168" spans="1:5" ht="15">
      <c r="A2168" s="223" t="s">
        <v>964</v>
      </c>
      <c r="B2168" s="223">
        <v>21</v>
      </c>
      <c r="C2168" s="223">
        <v>27</v>
      </c>
      <c r="D2168" s="223">
        <v>3</v>
      </c>
      <c r="E2168" s="223">
        <v>40189</v>
      </c>
    </row>
    <row r="2169" spans="1:5" ht="15">
      <c r="A2169" s="223" t="s">
        <v>964</v>
      </c>
      <c r="B2169" s="223">
        <v>21</v>
      </c>
      <c r="C2169" s="223">
        <v>27</v>
      </c>
      <c r="D2169" s="223">
        <v>5</v>
      </c>
      <c r="E2169" s="223">
        <v>10000</v>
      </c>
    </row>
    <row r="2170" spans="1:5" ht="15">
      <c r="A2170" s="223" t="s">
        <v>964</v>
      </c>
      <c r="B2170" s="223">
        <v>21</v>
      </c>
      <c r="C2170" s="223">
        <v>32</v>
      </c>
      <c r="D2170" s="223">
        <v>5</v>
      </c>
      <c r="E2170" s="223">
        <v>2596</v>
      </c>
    </row>
    <row r="2171" spans="1:5" ht="15">
      <c r="A2171" s="223" t="s">
        <v>964</v>
      </c>
      <c r="B2171" s="223">
        <v>24</v>
      </c>
      <c r="C2171" s="223">
        <v>26</v>
      </c>
      <c r="D2171" s="223">
        <v>7</v>
      </c>
      <c r="E2171" s="223">
        <v>81211</v>
      </c>
    </row>
    <row r="2172" spans="1:5" ht="15">
      <c r="A2172" s="223" t="s">
        <v>964</v>
      </c>
      <c r="B2172" s="223">
        <v>24</v>
      </c>
      <c r="C2172" s="223">
        <v>27</v>
      </c>
      <c r="D2172" s="223">
        <v>5</v>
      </c>
      <c r="E2172" s="223">
        <v>1529</v>
      </c>
    </row>
    <row r="2173" spans="1:5" ht="15">
      <c r="A2173" s="223" t="s">
        <v>1051</v>
      </c>
      <c r="B2173" s="223">
        <v>21</v>
      </c>
      <c r="C2173" s="223">
        <v>23</v>
      </c>
      <c r="D2173" s="223">
        <v>2</v>
      </c>
      <c r="E2173" s="223">
        <v>79997</v>
      </c>
    </row>
    <row r="2174" spans="1:5" ht="15">
      <c r="A2174" s="223" t="s">
        <v>1051</v>
      </c>
      <c r="B2174" s="223">
        <v>21</v>
      </c>
      <c r="C2174" s="223">
        <v>23</v>
      </c>
      <c r="D2174" s="223">
        <v>3</v>
      </c>
      <c r="E2174" s="223">
        <v>16661</v>
      </c>
    </row>
    <row r="2175" spans="1:5" ht="15">
      <c r="A2175" s="223" t="s">
        <v>1051</v>
      </c>
      <c r="B2175" s="223">
        <v>21</v>
      </c>
      <c r="C2175" s="223">
        <v>23</v>
      </c>
      <c r="D2175" s="223">
        <v>7</v>
      </c>
      <c r="E2175" s="223">
        <v>16236</v>
      </c>
    </row>
    <row r="2176" spans="1:5" ht="15">
      <c r="A2176" s="223" t="s">
        <v>1051</v>
      </c>
      <c r="B2176" s="223">
        <v>21</v>
      </c>
      <c r="C2176" s="223">
        <v>26</v>
      </c>
      <c r="D2176" s="223">
        <v>2</v>
      </c>
      <c r="E2176" s="223">
        <v>17230</v>
      </c>
    </row>
    <row r="2177" spans="1:5" ht="15">
      <c r="A2177" s="223" t="s">
        <v>1051</v>
      </c>
      <c r="B2177" s="223">
        <v>21</v>
      </c>
      <c r="C2177" s="223">
        <v>26</v>
      </c>
      <c r="D2177" s="223">
        <v>7</v>
      </c>
      <c r="E2177" s="223">
        <v>63853</v>
      </c>
    </row>
    <row r="2178" spans="1:5" ht="15">
      <c r="A2178" s="223" t="s">
        <v>1051</v>
      </c>
      <c r="B2178" s="223">
        <v>21</v>
      </c>
      <c r="C2178" s="223">
        <v>27</v>
      </c>
      <c r="D2178" s="223">
        <v>2</v>
      </c>
      <c r="E2178" s="223">
        <v>68919</v>
      </c>
    </row>
    <row r="2179" spans="1:5" ht="15">
      <c r="A2179" s="223" t="s">
        <v>1051</v>
      </c>
      <c r="B2179" s="223">
        <v>21</v>
      </c>
      <c r="C2179" s="223">
        <v>27</v>
      </c>
      <c r="D2179" s="223">
        <v>3</v>
      </c>
      <c r="E2179" s="223">
        <v>43065</v>
      </c>
    </row>
    <row r="2180" spans="1:5" ht="15">
      <c r="A2180" s="223" t="s">
        <v>1051</v>
      </c>
      <c r="B2180" s="223">
        <v>21</v>
      </c>
      <c r="C2180" s="223">
        <v>27</v>
      </c>
      <c r="D2180" s="223">
        <v>4</v>
      </c>
      <c r="E2180" s="223">
        <v>60044</v>
      </c>
    </row>
    <row r="2181" spans="1:5" ht="15">
      <c r="A2181" s="223" t="s">
        <v>1051</v>
      </c>
      <c r="B2181" s="223">
        <v>21</v>
      </c>
      <c r="C2181" s="223">
        <v>27</v>
      </c>
      <c r="D2181" s="223">
        <v>5</v>
      </c>
      <c r="E2181" s="223">
        <v>41193</v>
      </c>
    </row>
    <row r="2182" spans="1:5" ht="15">
      <c r="A2182" s="223" t="s">
        <v>1051</v>
      </c>
      <c r="B2182" s="223">
        <v>21</v>
      </c>
      <c r="C2182" s="223">
        <v>27</v>
      </c>
      <c r="D2182" s="223">
        <v>7</v>
      </c>
      <c r="E2182" s="223">
        <v>1948</v>
      </c>
    </row>
    <row r="2183" spans="1:5" ht="15">
      <c r="A2183" s="223" t="s">
        <v>1051</v>
      </c>
      <c r="B2183" s="223">
        <v>21</v>
      </c>
      <c r="C2183" s="223">
        <v>31</v>
      </c>
      <c r="D2183" s="223">
        <v>5</v>
      </c>
      <c r="E2183" s="223">
        <v>5256</v>
      </c>
    </row>
    <row r="2184" spans="1:5" ht="15">
      <c r="A2184" s="223" t="s">
        <v>1051</v>
      </c>
      <c r="B2184" s="223">
        <v>21</v>
      </c>
      <c r="C2184" s="223">
        <v>32</v>
      </c>
      <c r="D2184" s="223">
        <v>5</v>
      </c>
      <c r="E2184" s="223">
        <v>31745</v>
      </c>
    </row>
    <row r="2185" spans="1:5" ht="15">
      <c r="A2185" s="223" t="s">
        <v>1051</v>
      </c>
      <c r="B2185" s="223">
        <v>21</v>
      </c>
      <c r="C2185" s="223">
        <v>33</v>
      </c>
      <c r="D2185" s="223">
        <v>5</v>
      </c>
      <c r="E2185" s="223">
        <v>14932</v>
      </c>
    </row>
    <row r="2186" spans="1:5" ht="15">
      <c r="A2186" s="223" t="s">
        <v>1051</v>
      </c>
      <c r="B2186" s="223">
        <v>24</v>
      </c>
      <c r="C2186" s="223">
        <v>26</v>
      </c>
      <c r="D2186" s="223">
        <v>7</v>
      </c>
      <c r="E2186" s="223">
        <v>47844</v>
      </c>
    </row>
    <row r="2187" spans="1:5" ht="15">
      <c r="A2187" s="223" t="s">
        <v>340</v>
      </c>
      <c r="B2187" s="223">
        <v>21</v>
      </c>
      <c r="C2187" s="223">
        <v>26</v>
      </c>
      <c r="D2187" s="223">
        <v>7</v>
      </c>
      <c r="E2187" s="223">
        <v>51521</v>
      </c>
    </row>
    <row r="2188" spans="1:5" ht="15">
      <c r="A2188" s="223" t="s">
        <v>340</v>
      </c>
      <c r="B2188" s="223">
        <v>21</v>
      </c>
      <c r="C2188" s="223">
        <v>27</v>
      </c>
      <c r="D2188" s="223">
        <v>2</v>
      </c>
      <c r="E2188" s="223">
        <v>128391</v>
      </c>
    </row>
    <row r="2189" spans="1:5" ht="15">
      <c r="A2189" s="223" t="s">
        <v>340</v>
      </c>
      <c r="B2189" s="223">
        <v>21</v>
      </c>
      <c r="C2189" s="223">
        <v>27</v>
      </c>
      <c r="D2189" s="223">
        <v>3</v>
      </c>
      <c r="E2189" s="223">
        <v>113898</v>
      </c>
    </row>
    <row r="2190" spans="1:5" ht="15">
      <c r="A2190" s="223" t="s">
        <v>340</v>
      </c>
      <c r="B2190" s="223">
        <v>21</v>
      </c>
      <c r="C2190" s="223">
        <v>27</v>
      </c>
      <c r="D2190" s="223">
        <v>4</v>
      </c>
      <c r="E2190" s="223">
        <v>117205</v>
      </c>
    </row>
    <row r="2191" spans="1:5" ht="15">
      <c r="A2191" s="223" t="s">
        <v>340</v>
      </c>
      <c r="B2191" s="223">
        <v>21</v>
      </c>
      <c r="C2191" s="223">
        <v>27</v>
      </c>
      <c r="D2191" s="223">
        <v>7</v>
      </c>
      <c r="E2191" s="223">
        <v>7198</v>
      </c>
    </row>
    <row r="2192" spans="1:5" ht="15">
      <c r="A2192" s="223" t="s">
        <v>340</v>
      </c>
      <c r="B2192" s="223">
        <v>24</v>
      </c>
      <c r="C2192" s="223">
        <v>26</v>
      </c>
      <c r="D2192" s="223">
        <v>7</v>
      </c>
      <c r="E2192" s="223">
        <v>60704</v>
      </c>
    </row>
    <row r="2193" spans="1:5" ht="15">
      <c r="A2193" s="223" t="s">
        <v>340</v>
      </c>
      <c r="B2193" s="223">
        <v>29</v>
      </c>
      <c r="C2193" s="223">
        <v>27</v>
      </c>
      <c r="D2193" s="223">
        <v>3</v>
      </c>
      <c r="E2193" s="223">
        <v>41371</v>
      </c>
    </row>
    <row r="2194" spans="1:5" ht="15">
      <c r="A2194" s="223" t="s">
        <v>340</v>
      </c>
      <c r="B2194" s="223">
        <v>29</v>
      </c>
      <c r="C2194" s="223">
        <v>27</v>
      </c>
      <c r="D2194" s="223">
        <v>4</v>
      </c>
      <c r="E2194" s="223">
        <v>20941</v>
      </c>
    </row>
    <row r="2195" spans="1:5" ht="15">
      <c r="A2195" s="223" t="s">
        <v>342</v>
      </c>
      <c r="B2195" s="223">
        <v>21</v>
      </c>
      <c r="C2195" s="223">
        <v>26</v>
      </c>
      <c r="D2195" s="223">
        <v>5</v>
      </c>
      <c r="E2195" s="223">
        <v>150</v>
      </c>
    </row>
    <row r="2196" spans="1:5" ht="15">
      <c r="A2196" s="223" t="s">
        <v>342</v>
      </c>
      <c r="B2196" s="223">
        <v>21</v>
      </c>
      <c r="C2196" s="223">
        <v>26</v>
      </c>
      <c r="D2196" s="223">
        <v>7</v>
      </c>
      <c r="E2196" s="223">
        <v>7700</v>
      </c>
    </row>
    <row r="2197" spans="1:5" ht="15">
      <c r="A2197" s="223" t="s">
        <v>342</v>
      </c>
      <c r="B2197" s="223">
        <v>21</v>
      </c>
      <c r="C2197" s="223">
        <v>26</v>
      </c>
      <c r="D2197" s="223">
        <v>8</v>
      </c>
      <c r="E2197" s="223">
        <v>500</v>
      </c>
    </row>
    <row r="2198" spans="1:5" ht="15">
      <c r="A2198" s="223" t="s">
        <v>342</v>
      </c>
      <c r="B2198" s="223">
        <v>21</v>
      </c>
      <c r="C2198" s="223">
        <v>27</v>
      </c>
      <c r="D2198" s="223">
        <v>2</v>
      </c>
      <c r="E2198" s="223">
        <v>29833</v>
      </c>
    </row>
    <row r="2199" spans="1:5" ht="15">
      <c r="A2199" s="223" t="s">
        <v>342</v>
      </c>
      <c r="B2199" s="223">
        <v>21</v>
      </c>
      <c r="C2199" s="223">
        <v>27</v>
      </c>
      <c r="D2199" s="223">
        <v>4</v>
      </c>
      <c r="E2199" s="223">
        <v>2364</v>
      </c>
    </row>
    <row r="2200" spans="1:5" ht="15">
      <c r="A2200" s="223" t="s">
        <v>342</v>
      </c>
      <c r="B2200" s="223">
        <v>21</v>
      </c>
      <c r="C2200" s="223">
        <v>27</v>
      </c>
      <c r="D2200" s="223">
        <v>5</v>
      </c>
      <c r="E2200" s="223">
        <v>1000</v>
      </c>
    </row>
    <row r="2201" spans="1:5" ht="15">
      <c r="A2201" s="223" t="s">
        <v>342</v>
      </c>
      <c r="B2201" s="223">
        <v>21</v>
      </c>
      <c r="C2201" s="223">
        <v>27</v>
      </c>
      <c r="D2201" s="223">
        <v>7</v>
      </c>
      <c r="E2201" s="223">
        <v>700</v>
      </c>
    </row>
    <row r="2202" spans="1:5" ht="15">
      <c r="A2202" s="223" t="s">
        <v>342</v>
      </c>
      <c r="B2202" s="223">
        <v>21</v>
      </c>
      <c r="C2202" s="223">
        <v>27</v>
      </c>
      <c r="D2202" s="223">
        <v>8</v>
      </c>
      <c r="E2202" s="223">
        <v>100</v>
      </c>
    </row>
    <row r="2203" spans="1:5" ht="15">
      <c r="A2203" s="223" t="s">
        <v>342</v>
      </c>
      <c r="B2203" s="223">
        <v>21</v>
      </c>
      <c r="C2203" s="223">
        <v>31</v>
      </c>
      <c r="D2203" s="223">
        <v>8</v>
      </c>
      <c r="E2203" s="223">
        <v>100</v>
      </c>
    </row>
    <row r="2204" spans="1:5" ht="15">
      <c r="A2204" s="223" t="s">
        <v>342</v>
      </c>
      <c r="B2204" s="223">
        <v>21</v>
      </c>
      <c r="C2204" s="223">
        <v>33</v>
      </c>
      <c r="D2204" s="223">
        <v>5</v>
      </c>
      <c r="E2204" s="223">
        <v>100</v>
      </c>
    </row>
    <row r="2205" spans="1:5" ht="15">
      <c r="A2205" s="223" t="s">
        <v>342</v>
      </c>
      <c r="B2205" s="223">
        <v>21</v>
      </c>
      <c r="C2205" s="223">
        <v>34</v>
      </c>
      <c r="D2205" s="223">
        <v>2</v>
      </c>
      <c r="E2205" s="223">
        <v>491</v>
      </c>
    </row>
    <row r="2206" spans="1:5" ht="15">
      <c r="A2206" s="223" t="s">
        <v>342</v>
      </c>
      <c r="B2206" s="223">
        <v>21</v>
      </c>
      <c r="C2206" s="223">
        <v>34</v>
      </c>
      <c r="D2206" s="223">
        <v>4</v>
      </c>
      <c r="E2206" s="223">
        <v>39</v>
      </c>
    </row>
    <row r="2207" spans="1:5" ht="15">
      <c r="A2207" s="223" t="s">
        <v>342</v>
      </c>
      <c r="B2207" s="223">
        <v>24</v>
      </c>
      <c r="C2207" s="223">
        <v>27</v>
      </c>
      <c r="D2207" s="223">
        <v>7</v>
      </c>
      <c r="E2207" s="223">
        <v>8596</v>
      </c>
    </row>
    <row r="2208" spans="1:5" ht="15">
      <c r="A2208" s="223" t="s">
        <v>344</v>
      </c>
      <c r="B2208" s="223">
        <v>21</v>
      </c>
      <c r="C2208" s="223">
        <v>21</v>
      </c>
      <c r="D2208" s="223">
        <v>2</v>
      </c>
      <c r="E2208" s="223">
        <v>1121187</v>
      </c>
    </row>
    <row r="2209" spans="1:5" ht="15">
      <c r="A2209" s="223" t="s">
        <v>344</v>
      </c>
      <c r="B2209" s="223">
        <v>21</v>
      </c>
      <c r="C2209" s="223">
        <v>21</v>
      </c>
      <c r="D2209" s="223">
        <v>3</v>
      </c>
      <c r="E2209" s="223">
        <v>219645</v>
      </c>
    </row>
    <row r="2210" spans="1:5" ht="15">
      <c r="A2210" s="223" t="s">
        <v>344</v>
      </c>
      <c r="B2210" s="223">
        <v>21</v>
      </c>
      <c r="C2210" s="223">
        <v>21</v>
      </c>
      <c r="D2210" s="223">
        <v>4</v>
      </c>
      <c r="E2210" s="223">
        <v>406127</v>
      </c>
    </row>
    <row r="2211" spans="1:5" ht="15">
      <c r="A2211" s="223" t="s">
        <v>344</v>
      </c>
      <c r="B2211" s="223">
        <v>21</v>
      </c>
      <c r="C2211" s="223">
        <v>21</v>
      </c>
      <c r="D2211" s="223">
        <v>5</v>
      </c>
      <c r="E2211" s="223">
        <v>21502</v>
      </c>
    </row>
    <row r="2212" spans="1:5" ht="15">
      <c r="A2212" s="223" t="s">
        <v>344</v>
      </c>
      <c r="B2212" s="223">
        <v>21</v>
      </c>
      <c r="C2212" s="223">
        <v>21</v>
      </c>
      <c r="D2212" s="223">
        <v>7</v>
      </c>
      <c r="E2212" s="223">
        <v>153004</v>
      </c>
    </row>
    <row r="2213" spans="1:5" ht="15">
      <c r="A2213" s="223" t="s">
        <v>344</v>
      </c>
      <c r="B2213" s="223">
        <v>21</v>
      </c>
      <c r="C2213" s="223">
        <v>21</v>
      </c>
      <c r="D2213" s="223">
        <v>8</v>
      </c>
      <c r="E2213" s="223">
        <v>20000</v>
      </c>
    </row>
    <row r="2214" spans="1:5" ht="15">
      <c r="A2214" s="223" t="s">
        <v>344</v>
      </c>
      <c r="B2214" s="223">
        <v>21</v>
      </c>
      <c r="C2214" s="223">
        <v>21</v>
      </c>
      <c r="D2214" s="223">
        <v>9</v>
      </c>
      <c r="E2214" s="223">
        <v>8500</v>
      </c>
    </row>
    <row r="2215" spans="1:5" ht="15">
      <c r="A2215" s="223" t="s">
        <v>344</v>
      </c>
      <c r="B2215" s="223">
        <v>21</v>
      </c>
      <c r="C2215" s="223">
        <v>23</v>
      </c>
      <c r="D2215" s="223">
        <v>2</v>
      </c>
      <c r="E2215" s="223">
        <v>169364</v>
      </c>
    </row>
    <row r="2216" spans="1:5" ht="15">
      <c r="A2216" s="223" t="s">
        <v>344</v>
      </c>
      <c r="B2216" s="223">
        <v>21</v>
      </c>
      <c r="C2216" s="223">
        <v>23</v>
      </c>
      <c r="D2216" s="223">
        <v>4</v>
      </c>
      <c r="E2216" s="223">
        <v>51553</v>
      </c>
    </row>
    <row r="2217" spans="1:5" ht="15">
      <c r="A2217" s="223" t="s">
        <v>344</v>
      </c>
      <c r="B2217" s="223">
        <v>21</v>
      </c>
      <c r="C2217" s="223">
        <v>26</v>
      </c>
      <c r="D2217" s="223">
        <v>2</v>
      </c>
      <c r="E2217" s="223">
        <v>2850182</v>
      </c>
    </row>
    <row r="2218" spans="1:5" ht="15">
      <c r="A2218" s="223" t="s">
        <v>344</v>
      </c>
      <c r="B2218" s="223">
        <v>21</v>
      </c>
      <c r="C2218" s="223">
        <v>26</v>
      </c>
      <c r="D2218" s="223">
        <v>3</v>
      </c>
      <c r="E2218" s="223">
        <v>930718</v>
      </c>
    </row>
    <row r="2219" spans="1:5" ht="15">
      <c r="A2219" s="223" t="s">
        <v>344</v>
      </c>
      <c r="B2219" s="223">
        <v>21</v>
      </c>
      <c r="C2219" s="223">
        <v>26</v>
      </c>
      <c r="D2219" s="223">
        <v>4</v>
      </c>
      <c r="E2219" s="223">
        <v>1433883</v>
      </c>
    </row>
    <row r="2220" spans="1:5" ht="15">
      <c r="A2220" s="223" t="s">
        <v>344</v>
      </c>
      <c r="B2220" s="223">
        <v>21</v>
      </c>
      <c r="C2220" s="223">
        <v>26</v>
      </c>
      <c r="D2220" s="223">
        <v>5</v>
      </c>
      <c r="E2220" s="223">
        <v>98500</v>
      </c>
    </row>
    <row r="2221" spans="1:5" ht="15">
      <c r="A2221" s="223" t="s">
        <v>344</v>
      </c>
      <c r="B2221" s="223">
        <v>21</v>
      </c>
      <c r="C2221" s="223">
        <v>26</v>
      </c>
      <c r="D2221" s="223">
        <v>7</v>
      </c>
      <c r="E2221" s="223">
        <v>775202</v>
      </c>
    </row>
    <row r="2222" spans="1:5" ht="15">
      <c r="A2222" s="223" t="s">
        <v>344</v>
      </c>
      <c r="B2222" s="223">
        <v>21</v>
      </c>
      <c r="C2222" s="223">
        <v>26</v>
      </c>
      <c r="D2222" s="223">
        <v>8</v>
      </c>
      <c r="E2222" s="223">
        <v>10000</v>
      </c>
    </row>
    <row r="2223" spans="1:5" ht="15">
      <c r="A2223" s="223" t="s">
        <v>344</v>
      </c>
      <c r="B2223" s="223">
        <v>21</v>
      </c>
      <c r="C2223" s="223">
        <v>26</v>
      </c>
      <c r="D2223" s="223">
        <v>9</v>
      </c>
      <c r="E2223" s="223">
        <v>43000</v>
      </c>
    </row>
    <row r="2224" spans="1:5" ht="15">
      <c r="A2224" s="223" t="s">
        <v>344</v>
      </c>
      <c r="B2224" s="223">
        <v>21</v>
      </c>
      <c r="C2224" s="223">
        <v>27</v>
      </c>
      <c r="D2224" s="223">
        <v>2</v>
      </c>
      <c r="E2224" s="223">
        <v>9512035</v>
      </c>
    </row>
    <row r="2225" spans="1:5" ht="15">
      <c r="A2225" s="223" t="s">
        <v>344</v>
      </c>
      <c r="B2225" s="223">
        <v>21</v>
      </c>
      <c r="C2225" s="223">
        <v>27</v>
      </c>
      <c r="D2225" s="223">
        <v>3</v>
      </c>
      <c r="E2225" s="223">
        <v>6424214</v>
      </c>
    </row>
    <row r="2226" spans="1:5" ht="15">
      <c r="A2226" s="223" t="s">
        <v>344</v>
      </c>
      <c r="B2226" s="223">
        <v>21</v>
      </c>
      <c r="C2226" s="223">
        <v>27</v>
      </c>
      <c r="D2226" s="223">
        <v>4</v>
      </c>
      <c r="E2226" s="223">
        <v>7306895</v>
      </c>
    </row>
    <row r="2227" spans="1:5" ht="15">
      <c r="A2227" s="223" t="s">
        <v>344</v>
      </c>
      <c r="B2227" s="223">
        <v>21</v>
      </c>
      <c r="C2227" s="223">
        <v>27</v>
      </c>
      <c r="D2227" s="223">
        <v>5</v>
      </c>
      <c r="E2227" s="223">
        <v>32104</v>
      </c>
    </row>
    <row r="2228" spans="1:5" ht="15">
      <c r="A2228" s="223" t="s">
        <v>344</v>
      </c>
      <c r="B2228" s="223">
        <v>21</v>
      </c>
      <c r="C2228" s="223">
        <v>27</v>
      </c>
      <c r="D2228" s="223">
        <v>7</v>
      </c>
      <c r="E2228" s="223">
        <v>1454360</v>
      </c>
    </row>
    <row r="2229" spans="1:5" ht="15">
      <c r="A2229" s="223" t="s">
        <v>344</v>
      </c>
      <c r="B2229" s="223">
        <v>21</v>
      </c>
      <c r="C2229" s="223">
        <v>27</v>
      </c>
      <c r="D2229" s="223">
        <v>8</v>
      </c>
      <c r="E2229" s="223">
        <v>10000</v>
      </c>
    </row>
    <row r="2230" spans="1:5" ht="15">
      <c r="A2230" s="223" t="s">
        <v>344</v>
      </c>
      <c r="B2230" s="223">
        <v>21</v>
      </c>
      <c r="C2230" s="223">
        <v>27</v>
      </c>
      <c r="D2230" s="223">
        <v>9</v>
      </c>
      <c r="E2230" s="223">
        <v>12498</v>
      </c>
    </row>
    <row r="2231" spans="1:5" ht="15">
      <c r="A2231" s="223" t="s">
        <v>344</v>
      </c>
      <c r="B2231" s="223">
        <v>21</v>
      </c>
      <c r="C2231" s="223">
        <v>29</v>
      </c>
      <c r="D2231" s="223">
        <v>7</v>
      </c>
      <c r="E2231" s="223">
        <v>2</v>
      </c>
    </row>
    <row r="2232" spans="1:5" ht="15">
      <c r="A2232" s="223" t="s">
        <v>344</v>
      </c>
      <c r="B2232" s="223">
        <v>21</v>
      </c>
      <c r="C2232" s="223">
        <v>33</v>
      </c>
      <c r="D2232" s="223">
        <v>5</v>
      </c>
      <c r="E2232" s="223">
        <v>216000</v>
      </c>
    </row>
    <row r="2233" spans="1:5" ht="15">
      <c r="A2233" s="223" t="s">
        <v>344</v>
      </c>
      <c r="B2233" s="223">
        <v>24</v>
      </c>
      <c r="C2233" s="223">
        <v>21</v>
      </c>
      <c r="D2233" s="223">
        <v>2</v>
      </c>
      <c r="E2233" s="223">
        <v>175048</v>
      </c>
    </row>
    <row r="2234" spans="1:5" ht="15">
      <c r="A2234" s="223" t="s">
        <v>344</v>
      </c>
      <c r="B2234" s="223">
        <v>24</v>
      </c>
      <c r="C2234" s="223">
        <v>21</v>
      </c>
      <c r="D2234" s="223">
        <v>4</v>
      </c>
      <c r="E2234" s="223">
        <v>52138</v>
      </c>
    </row>
    <row r="2235" spans="1:5" ht="15">
      <c r="A2235" s="223" t="s">
        <v>344</v>
      </c>
      <c r="B2235" s="223">
        <v>24</v>
      </c>
      <c r="C2235" s="223">
        <v>26</v>
      </c>
      <c r="D2235" s="223">
        <v>2</v>
      </c>
      <c r="E2235" s="223">
        <v>3468015</v>
      </c>
    </row>
    <row r="2236" spans="1:5" ht="15">
      <c r="A2236" s="223" t="s">
        <v>344</v>
      </c>
      <c r="B2236" s="223">
        <v>24</v>
      </c>
      <c r="C2236" s="223">
        <v>26</v>
      </c>
      <c r="D2236" s="223">
        <v>4</v>
      </c>
      <c r="E2236" s="223">
        <v>1232340</v>
      </c>
    </row>
    <row r="2237" spans="1:5" ht="15">
      <c r="A2237" s="223" t="s">
        <v>344</v>
      </c>
      <c r="B2237" s="223">
        <v>24</v>
      </c>
      <c r="C2237" s="223">
        <v>27</v>
      </c>
      <c r="D2237" s="223">
        <v>2</v>
      </c>
      <c r="E2237" s="223">
        <v>1799368</v>
      </c>
    </row>
    <row r="2238" spans="1:5" ht="15">
      <c r="A2238" s="223" t="s">
        <v>344</v>
      </c>
      <c r="B2238" s="223">
        <v>24</v>
      </c>
      <c r="C2238" s="223">
        <v>27</v>
      </c>
      <c r="D2238" s="223">
        <v>3</v>
      </c>
      <c r="E2238" s="223">
        <v>4</v>
      </c>
    </row>
    <row r="2239" spans="1:5" ht="15">
      <c r="A2239" s="223" t="s">
        <v>344</v>
      </c>
      <c r="B2239" s="223">
        <v>24</v>
      </c>
      <c r="C2239" s="223">
        <v>27</v>
      </c>
      <c r="D2239" s="223">
        <v>4</v>
      </c>
      <c r="E2239" s="223">
        <v>639589</v>
      </c>
    </row>
    <row r="2240" spans="1:5" ht="15">
      <c r="A2240" s="223" t="s">
        <v>344</v>
      </c>
      <c r="B2240" s="223">
        <v>24</v>
      </c>
      <c r="C2240" s="223">
        <v>27</v>
      </c>
      <c r="D2240" s="223">
        <v>7</v>
      </c>
      <c r="E2240" s="223">
        <v>4500006</v>
      </c>
    </row>
    <row r="2241" spans="1:5" ht="15">
      <c r="A2241" s="223" t="s">
        <v>344</v>
      </c>
      <c r="B2241" s="223">
        <v>24</v>
      </c>
      <c r="C2241" s="223">
        <v>29</v>
      </c>
      <c r="D2241" s="223">
        <v>7</v>
      </c>
      <c r="E2241" s="223">
        <v>2</v>
      </c>
    </row>
    <row r="2242" spans="1:5" ht="15">
      <c r="A2242" s="223" t="s">
        <v>344</v>
      </c>
      <c r="B2242" s="223">
        <v>24</v>
      </c>
      <c r="C2242" s="223">
        <v>31</v>
      </c>
      <c r="D2242" s="223">
        <v>5</v>
      </c>
      <c r="E2242" s="223">
        <v>2</v>
      </c>
    </row>
    <row r="2243" spans="1:5" ht="15">
      <c r="A2243" s="223" t="s">
        <v>346</v>
      </c>
      <c r="B2243" s="223">
        <v>21</v>
      </c>
      <c r="C2243" s="223">
        <v>27</v>
      </c>
      <c r="D2243" s="223">
        <v>2</v>
      </c>
      <c r="E2243" s="223">
        <v>6077</v>
      </c>
    </row>
    <row r="2244" spans="1:5" ht="15">
      <c r="A2244" s="223" t="s">
        <v>346</v>
      </c>
      <c r="B2244" s="223">
        <v>21</v>
      </c>
      <c r="C2244" s="223">
        <v>27</v>
      </c>
      <c r="D2244" s="223">
        <v>5</v>
      </c>
      <c r="E2244" s="223">
        <v>300</v>
      </c>
    </row>
    <row r="2245" spans="1:5" ht="15">
      <c r="A2245" s="223" t="s">
        <v>346</v>
      </c>
      <c r="B2245" s="223">
        <v>21</v>
      </c>
      <c r="C2245" s="223">
        <v>27</v>
      </c>
      <c r="D2245" s="223">
        <v>7</v>
      </c>
      <c r="E2245" s="223">
        <v>250</v>
      </c>
    </row>
    <row r="2246" spans="1:5" ht="15">
      <c r="A2246" s="223" t="s">
        <v>346</v>
      </c>
      <c r="B2246" s="223">
        <v>21</v>
      </c>
      <c r="C2246" s="223">
        <v>27</v>
      </c>
      <c r="D2246" s="223">
        <v>8</v>
      </c>
      <c r="E2246" s="223">
        <v>500</v>
      </c>
    </row>
    <row r="2247" spans="1:5" ht="15">
      <c r="A2247" s="223" t="s">
        <v>346</v>
      </c>
      <c r="B2247" s="223">
        <v>21</v>
      </c>
      <c r="C2247" s="223">
        <v>29</v>
      </c>
      <c r="D2247" s="223">
        <v>7</v>
      </c>
      <c r="E2247" s="223">
        <v>69796</v>
      </c>
    </row>
    <row r="2248" spans="1:5" ht="15">
      <c r="A2248" s="223" t="s">
        <v>452</v>
      </c>
      <c r="B2248" s="223">
        <v>21</v>
      </c>
      <c r="C2248" s="223">
        <v>29</v>
      </c>
      <c r="D2248" s="223">
        <v>7</v>
      </c>
      <c r="E2248" s="223">
        <v>1927147</v>
      </c>
    </row>
    <row r="2249" spans="1:5" ht="15">
      <c r="A2249" s="223" t="s">
        <v>454</v>
      </c>
      <c r="B2249" s="223">
        <v>21</v>
      </c>
      <c r="C2249" s="223">
        <v>26</v>
      </c>
      <c r="D2249" s="223">
        <v>7</v>
      </c>
      <c r="E2249" s="223">
        <v>23520</v>
      </c>
    </row>
    <row r="2250" spans="1:5" ht="15">
      <c r="A2250" s="223" t="s">
        <v>454</v>
      </c>
      <c r="B2250" s="223">
        <v>21</v>
      </c>
      <c r="C2250" s="223">
        <v>27</v>
      </c>
      <c r="D2250" s="223">
        <v>2</v>
      </c>
      <c r="E2250" s="223">
        <v>7489</v>
      </c>
    </row>
    <row r="2251" spans="1:5" ht="15">
      <c r="A2251" s="223" t="s">
        <v>454</v>
      </c>
      <c r="B2251" s="223">
        <v>21</v>
      </c>
      <c r="C2251" s="223">
        <v>27</v>
      </c>
      <c r="D2251" s="223">
        <v>4</v>
      </c>
      <c r="E2251" s="223">
        <v>1668</v>
      </c>
    </row>
    <row r="2252" spans="1:5" ht="15">
      <c r="A2252" s="223" t="s">
        <v>454</v>
      </c>
      <c r="B2252" s="223">
        <v>24</v>
      </c>
      <c r="C2252" s="223">
        <v>27</v>
      </c>
      <c r="D2252" s="223">
        <v>7</v>
      </c>
      <c r="E2252" s="223">
        <v>12000</v>
      </c>
    </row>
    <row r="2253" spans="1:5" ht="15">
      <c r="A2253" s="223" t="s">
        <v>454</v>
      </c>
      <c r="B2253" s="223">
        <v>29</v>
      </c>
      <c r="C2253" s="223">
        <v>29</v>
      </c>
      <c r="D2253" s="223">
        <v>7</v>
      </c>
      <c r="E2253" s="223">
        <v>5000</v>
      </c>
    </row>
    <row r="2254" spans="1:5" ht="15">
      <c r="A2254" s="223" t="s">
        <v>456</v>
      </c>
      <c r="B2254" s="223">
        <v>21</v>
      </c>
      <c r="C2254" s="223">
        <v>21</v>
      </c>
      <c r="D2254" s="223">
        <v>0</v>
      </c>
      <c r="E2254" s="223">
        <v>1900</v>
      </c>
    </row>
    <row r="2255" spans="1:5" ht="15">
      <c r="A2255" s="223" t="s">
        <v>456</v>
      </c>
      <c r="B2255" s="223">
        <v>21</v>
      </c>
      <c r="C2255" s="223">
        <v>21</v>
      </c>
      <c r="D2255" s="223">
        <v>2</v>
      </c>
      <c r="E2255" s="223">
        <v>386050</v>
      </c>
    </row>
    <row r="2256" spans="1:5" ht="15">
      <c r="A2256" s="223" t="s">
        <v>456</v>
      </c>
      <c r="B2256" s="223">
        <v>21</v>
      </c>
      <c r="C2256" s="223">
        <v>21</v>
      </c>
      <c r="D2256" s="223">
        <v>3</v>
      </c>
      <c r="E2256" s="223">
        <v>102512</v>
      </c>
    </row>
    <row r="2257" spans="1:5" ht="15">
      <c r="A2257" s="223" t="s">
        <v>456</v>
      </c>
      <c r="B2257" s="223">
        <v>21</v>
      </c>
      <c r="C2257" s="223">
        <v>21</v>
      </c>
      <c r="D2257" s="223">
        <v>4</v>
      </c>
      <c r="E2257" s="223">
        <v>170825</v>
      </c>
    </row>
    <row r="2258" spans="1:5" ht="15">
      <c r="A2258" s="223" t="s">
        <v>456</v>
      </c>
      <c r="B2258" s="223">
        <v>21</v>
      </c>
      <c r="C2258" s="223">
        <v>21</v>
      </c>
      <c r="D2258" s="223">
        <v>5</v>
      </c>
      <c r="E2258" s="223">
        <v>3600</v>
      </c>
    </row>
    <row r="2259" spans="1:5" ht="15">
      <c r="A2259" s="223" t="s">
        <v>456</v>
      </c>
      <c r="B2259" s="223">
        <v>21</v>
      </c>
      <c r="C2259" s="223">
        <v>21</v>
      </c>
      <c r="D2259" s="223">
        <v>7</v>
      </c>
      <c r="E2259" s="223">
        <v>15350</v>
      </c>
    </row>
    <row r="2260" spans="1:5" ht="15">
      <c r="A2260" s="223" t="s">
        <v>456</v>
      </c>
      <c r="B2260" s="223">
        <v>21</v>
      </c>
      <c r="C2260" s="223">
        <v>21</v>
      </c>
      <c r="D2260" s="223">
        <v>8</v>
      </c>
      <c r="E2260" s="223">
        <v>3000</v>
      </c>
    </row>
    <row r="2261" spans="1:5" ht="15">
      <c r="A2261" s="223" t="s">
        <v>456</v>
      </c>
      <c r="B2261" s="223">
        <v>21</v>
      </c>
      <c r="C2261" s="223">
        <v>25</v>
      </c>
      <c r="D2261" s="223">
        <v>3</v>
      </c>
      <c r="E2261" s="223">
        <v>20643</v>
      </c>
    </row>
    <row r="2262" spans="1:5" ht="15">
      <c r="A2262" s="223" t="s">
        <v>456</v>
      </c>
      <c r="B2262" s="223">
        <v>21</v>
      </c>
      <c r="C2262" s="223">
        <v>25</v>
      </c>
      <c r="D2262" s="223">
        <v>4</v>
      </c>
      <c r="E2262" s="223">
        <v>15226</v>
      </c>
    </row>
    <row r="2263" spans="1:5" ht="15">
      <c r="A2263" s="223" t="s">
        <v>456</v>
      </c>
      <c r="B2263" s="223">
        <v>21</v>
      </c>
      <c r="C2263" s="223">
        <v>26</v>
      </c>
      <c r="D2263" s="223">
        <v>2</v>
      </c>
      <c r="E2263" s="223">
        <v>963306</v>
      </c>
    </row>
    <row r="2264" spans="1:5" ht="15">
      <c r="A2264" s="223" t="s">
        <v>456</v>
      </c>
      <c r="B2264" s="223">
        <v>21</v>
      </c>
      <c r="C2264" s="223">
        <v>26</v>
      </c>
      <c r="D2264" s="223">
        <v>3</v>
      </c>
      <c r="E2264" s="223">
        <v>115290</v>
      </c>
    </row>
    <row r="2265" spans="1:5" ht="15">
      <c r="A2265" s="223" t="s">
        <v>456</v>
      </c>
      <c r="B2265" s="223">
        <v>21</v>
      </c>
      <c r="C2265" s="223">
        <v>26</v>
      </c>
      <c r="D2265" s="223">
        <v>4</v>
      </c>
      <c r="E2265" s="223">
        <v>448060</v>
      </c>
    </row>
    <row r="2266" spans="1:5" ht="15">
      <c r="A2266" s="223" t="s">
        <v>456</v>
      </c>
      <c r="B2266" s="223">
        <v>21</v>
      </c>
      <c r="C2266" s="223">
        <v>26</v>
      </c>
      <c r="D2266" s="223">
        <v>5</v>
      </c>
      <c r="E2266" s="223">
        <v>25000</v>
      </c>
    </row>
    <row r="2267" spans="1:5" ht="15">
      <c r="A2267" s="223" t="s">
        <v>456</v>
      </c>
      <c r="B2267" s="223">
        <v>21</v>
      </c>
      <c r="C2267" s="223">
        <v>26</v>
      </c>
      <c r="D2267" s="223">
        <v>7</v>
      </c>
      <c r="E2267" s="223">
        <v>1025000</v>
      </c>
    </row>
    <row r="2268" spans="1:5" ht="15">
      <c r="A2268" s="223" t="s">
        <v>456</v>
      </c>
      <c r="B2268" s="223">
        <v>21</v>
      </c>
      <c r="C2268" s="223">
        <v>26</v>
      </c>
      <c r="D2268" s="223">
        <v>8</v>
      </c>
      <c r="E2268" s="223">
        <v>4000</v>
      </c>
    </row>
    <row r="2269" spans="1:5" ht="15">
      <c r="A2269" s="223" t="s">
        <v>456</v>
      </c>
      <c r="B2269" s="223">
        <v>21</v>
      </c>
      <c r="C2269" s="223">
        <v>27</v>
      </c>
      <c r="D2269" s="223">
        <v>0</v>
      </c>
      <c r="E2269" s="223">
        <v>1000</v>
      </c>
    </row>
    <row r="2270" spans="1:5" ht="15">
      <c r="A2270" s="223" t="s">
        <v>456</v>
      </c>
      <c r="B2270" s="223">
        <v>21</v>
      </c>
      <c r="C2270" s="223">
        <v>27</v>
      </c>
      <c r="D2270" s="223">
        <v>2</v>
      </c>
      <c r="E2270" s="223">
        <v>1807396</v>
      </c>
    </row>
    <row r="2271" spans="1:5" ht="15">
      <c r="A2271" s="223" t="s">
        <v>456</v>
      </c>
      <c r="B2271" s="223">
        <v>21</v>
      </c>
      <c r="C2271" s="223">
        <v>27</v>
      </c>
      <c r="D2271" s="223">
        <v>3</v>
      </c>
      <c r="E2271" s="223">
        <v>1668486</v>
      </c>
    </row>
    <row r="2272" spans="1:5" ht="15">
      <c r="A2272" s="223" t="s">
        <v>456</v>
      </c>
      <c r="B2272" s="223">
        <v>21</v>
      </c>
      <c r="C2272" s="223">
        <v>27</v>
      </c>
      <c r="D2272" s="223">
        <v>4</v>
      </c>
      <c r="E2272" s="223">
        <v>1826464</v>
      </c>
    </row>
    <row r="2273" spans="1:5" ht="15">
      <c r="A2273" s="223" t="s">
        <v>456</v>
      </c>
      <c r="B2273" s="223">
        <v>21</v>
      </c>
      <c r="C2273" s="223">
        <v>27</v>
      </c>
      <c r="D2273" s="223">
        <v>5</v>
      </c>
      <c r="E2273" s="223">
        <v>17400</v>
      </c>
    </row>
    <row r="2274" spans="1:5" ht="15">
      <c r="A2274" s="223" t="s">
        <v>456</v>
      </c>
      <c r="B2274" s="223">
        <v>21</v>
      </c>
      <c r="C2274" s="223">
        <v>27</v>
      </c>
      <c r="D2274" s="223">
        <v>7</v>
      </c>
      <c r="E2274" s="223">
        <v>969000</v>
      </c>
    </row>
    <row r="2275" spans="1:5" ht="15">
      <c r="A2275" s="223" t="s">
        <v>456</v>
      </c>
      <c r="B2275" s="223">
        <v>21</v>
      </c>
      <c r="C2275" s="223">
        <v>27</v>
      </c>
      <c r="D2275" s="223">
        <v>8</v>
      </c>
      <c r="E2275" s="223">
        <v>1500</v>
      </c>
    </row>
    <row r="2276" spans="1:5" ht="15">
      <c r="A2276" s="223" t="s">
        <v>456</v>
      </c>
      <c r="B2276" s="223">
        <v>21</v>
      </c>
      <c r="C2276" s="223">
        <v>31</v>
      </c>
      <c r="D2276" s="223">
        <v>2</v>
      </c>
      <c r="E2276" s="223">
        <v>5000</v>
      </c>
    </row>
    <row r="2277" spans="1:5" ht="15">
      <c r="A2277" s="223" t="s">
        <v>456</v>
      </c>
      <c r="B2277" s="223">
        <v>21</v>
      </c>
      <c r="C2277" s="223">
        <v>31</v>
      </c>
      <c r="D2277" s="223">
        <v>4</v>
      </c>
      <c r="E2277" s="223">
        <v>635</v>
      </c>
    </row>
    <row r="2278" spans="1:5" ht="15">
      <c r="A2278" s="223" t="s">
        <v>456</v>
      </c>
      <c r="B2278" s="223">
        <v>21</v>
      </c>
      <c r="C2278" s="223">
        <v>31</v>
      </c>
      <c r="D2278" s="223">
        <v>5</v>
      </c>
      <c r="E2278" s="223">
        <v>4500</v>
      </c>
    </row>
    <row r="2279" spans="1:5" ht="15">
      <c r="A2279" s="223" t="s">
        <v>456</v>
      </c>
      <c r="B2279" s="223">
        <v>21</v>
      </c>
      <c r="C2279" s="223">
        <v>31</v>
      </c>
      <c r="D2279" s="223">
        <v>7</v>
      </c>
      <c r="E2279" s="223">
        <v>4500</v>
      </c>
    </row>
    <row r="2280" spans="1:5" ht="15">
      <c r="A2280" s="223" t="s">
        <v>456</v>
      </c>
      <c r="B2280" s="223">
        <v>21</v>
      </c>
      <c r="C2280" s="223">
        <v>31</v>
      </c>
      <c r="D2280" s="223">
        <v>8</v>
      </c>
      <c r="E2280" s="223">
        <v>1000</v>
      </c>
    </row>
    <row r="2281" spans="1:5" ht="15">
      <c r="A2281" s="223" t="s">
        <v>456</v>
      </c>
      <c r="B2281" s="223">
        <v>21</v>
      </c>
      <c r="C2281" s="223">
        <v>32</v>
      </c>
      <c r="D2281" s="223">
        <v>5</v>
      </c>
      <c r="E2281" s="223">
        <v>8000</v>
      </c>
    </row>
    <row r="2282" spans="1:5" ht="15">
      <c r="A2282" s="223" t="s">
        <v>456</v>
      </c>
      <c r="B2282" s="223">
        <v>21</v>
      </c>
      <c r="C2282" s="223">
        <v>33</v>
      </c>
      <c r="D2282" s="223">
        <v>5</v>
      </c>
      <c r="E2282" s="223">
        <v>10000</v>
      </c>
    </row>
    <row r="2283" spans="1:5" ht="15">
      <c r="A2283" s="223" t="s">
        <v>456</v>
      </c>
      <c r="B2283" s="223">
        <v>21</v>
      </c>
      <c r="C2283" s="223">
        <v>33</v>
      </c>
      <c r="D2283" s="223">
        <v>7</v>
      </c>
      <c r="E2283" s="223">
        <v>5500</v>
      </c>
    </row>
    <row r="2284" spans="1:5" ht="15">
      <c r="A2284" s="223" t="s">
        <v>456</v>
      </c>
      <c r="B2284" s="223">
        <v>23</v>
      </c>
      <c r="C2284" s="223">
        <v>27</v>
      </c>
      <c r="D2284" s="223">
        <v>3</v>
      </c>
      <c r="E2284" s="223">
        <v>11177</v>
      </c>
    </row>
    <row r="2285" spans="1:5" ht="15">
      <c r="A2285" s="223" t="s">
        <v>456</v>
      </c>
      <c r="B2285" s="223">
        <v>23</v>
      </c>
      <c r="C2285" s="223">
        <v>27</v>
      </c>
      <c r="D2285" s="223">
        <v>4</v>
      </c>
      <c r="E2285" s="223">
        <v>10053</v>
      </c>
    </row>
    <row r="2286" spans="1:5" ht="15">
      <c r="A2286" s="223" t="s">
        <v>456</v>
      </c>
      <c r="B2286" s="223">
        <v>24</v>
      </c>
      <c r="C2286" s="223">
        <v>27</v>
      </c>
      <c r="D2286" s="223">
        <v>2</v>
      </c>
      <c r="E2286" s="223">
        <v>665150</v>
      </c>
    </row>
    <row r="2287" spans="1:5" ht="15">
      <c r="A2287" s="223" t="s">
        <v>456</v>
      </c>
      <c r="B2287" s="223">
        <v>24</v>
      </c>
      <c r="C2287" s="223">
        <v>27</v>
      </c>
      <c r="D2287" s="223">
        <v>3</v>
      </c>
      <c r="E2287" s="223">
        <v>65865</v>
      </c>
    </row>
    <row r="2288" spans="1:5" ht="15">
      <c r="A2288" s="223" t="s">
        <v>456</v>
      </c>
      <c r="B2288" s="223">
        <v>24</v>
      </c>
      <c r="C2288" s="223">
        <v>27</v>
      </c>
      <c r="D2288" s="223">
        <v>4</v>
      </c>
      <c r="E2288" s="223">
        <v>303181</v>
      </c>
    </row>
    <row r="2289" spans="1:5" ht="15">
      <c r="A2289" s="223" t="s">
        <v>456</v>
      </c>
      <c r="B2289" s="223">
        <v>24</v>
      </c>
      <c r="C2289" s="223">
        <v>31</v>
      </c>
      <c r="D2289" s="223">
        <v>2</v>
      </c>
      <c r="E2289" s="223">
        <v>1055</v>
      </c>
    </row>
    <row r="2290" spans="1:5" ht="15">
      <c r="A2290" s="223" t="s">
        <v>456</v>
      </c>
      <c r="B2290" s="223">
        <v>24</v>
      </c>
      <c r="C2290" s="223">
        <v>31</v>
      </c>
      <c r="D2290" s="223">
        <v>4</v>
      </c>
      <c r="E2290" s="223">
        <v>313</v>
      </c>
    </row>
    <row r="2291" spans="1:5" ht="15">
      <c r="A2291" s="223" t="s">
        <v>458</v>
      </c>
      <c r="B2291" s="223">
        <v>21</v>
      </c>
      <c r="C2291" s="223">
        <v>21</v>
      </c>
      <c r="D2291" s="223">
        <v>2</v>
      </c>
      <c r="E2291" s="223">
        <v>573033</v>
      </c>
    </row>
    <row r="2292" spans="1:5" ht="15">
      <c r="A2292" s="223" t="s">
        <v>458</v>
      </c>
      <c r="B2292" s="223">
        <v>21</v>
      </c>
      <c r="C2292" s="223">
        <v>21</v>
      </c>
      <c r="D2292" s="223">
        <v>3</v>
      </c>
      <c r="E2292" s="223">
        <v>217831</v>
      </c>
    </row>
    <row r="2293" spans="1:5" ht="15">
      <c r="A2293" s="223" t="s">
        <v>458</v>
      </c>
      <c r="B2293" s="223">
        <v>21</v>
      </c>
      <c r="C2293" s="223">
        <v>21</v>
      </c>
      <c r="D2293" s="223">
        <v>4</v>
      </c>
      <c r="E2293" s="223">
        <v>283210</v>
      </c>
    </row>
    <row r="2294" spans="1:5" ht="15">
      <c r="A2294" s="223" t="s">
        <v>458</v>
      </c>
      <c r="B2294" s="223">
        <v>21</v>
      </c>
      <c r="C2294" s="223">
        <v>21</v>
      </c>
      <c r="D2294" s="223">
        <v>5</v>
      </c>
      <c r="E2294" s="223">
        <v>9750</v>
      </c>
    </row>
    <row r="2295" spans="1:5" ht="15">
      <c r="A2295" s="223" t="s">
        <v>458</v>
      </c>
      <c r="B2295" s="223">
        <v>21</v>
      </c>
      <c r="C2295" s="223">
        <v>21</v>
      </c>
      <c r="D2295" s="223">
        <v>7</v>
      </c>
      <c r="E2295" s="223">
        <v>21750</v>
      </c>
    </row>
    <row r="2296" spans="1:5" ht="15">
      <c r="A2296" s="223" t="s">
        <v>458</v>
      </c>
      <c r="B2296" s="223">
        <v>21</v>
      </c>
      <c r="C2296" s="223">
        <v>21</v>
      </c>
      <c r="D2296" s="223">
        <v>8</v>
      </c>
      <c r="E2296" s="223">
        <v>5000</v>
      </c>
    </row>
    <row r="2297" spans="1:5" ht="15">
      <c r="A2297" s="223" t="s">
        <v>458</v>
      </c>
      <c r="B2297" s="223">
        <v>21</v>
      </c>
      <c r="C2297" s="223">
        <v>23</v>
      </c>
      <c r="D2297" s="223">
        <v>2</v>
      </c>
      <c r="E2297" s="223">
        <v>2650</v>
      </c>
    </row>
    <row r="2298" spans="1:5" ht="15">
      <c r="A2298" s="223" t="s">
        <v>458</v>
      </c>
      <c r="B2298" s="223">
        <v>21</v>
      </c>
      <c r="C2298" s="223">
        <v>23</v>
      </c>
      <c r="D2298" s="223">
        <v>4</v>
      </c>
      <c r="E2298" s="223">
        <v>585</v>
      </c>
    </row>
    <row r="2299" spans="1:5" ht="15">
      <c r="A2299" s="223" t="s">
        <v>458</v>
      </c>
      <c r="B2299" s="223">
        <v>21</v>
      </c>
      <c r="C2299" s="223">
        <v>26</v>
      </c>
      <c r="D2299" s="223">
        <v>2</v>
      </c>
      <c r="E2299" s="223">
        <v>3206643</v>
      </c>
    </row>
    <row r="2300" spans="1:5" ht="15">
      <c r="A2300" s="223" t="s">
        <v>458</v>
      </c>
      <c r="B2300" s="223">
        <v>21</v>
      </c>
      <c r="C2300" s="223">
        <v>26</v>
      </c>
      <c r="D2300" s="223">
        <v>3</v>
      </c>
      <c r="E2300" s="223">
        <v>339320</v>
      </c>
    </row>
    <row r="2301" spans="1:5" ht="15">
      <c r="A2301" s="223" t="s">
        <v>458</v>
      </c>
      <c r="B2301" s="223">
        <v>21</v>
      </c>
      <c r="C2301" s="223">
        <v>26</v>
      </c>
      <c r="D2301" s="223">
        <v>4</v>
      </c>
      <c r="E2301" s="223">
        <v>1210697</v>
      </c>
    </row>
    <row r="2302" spans="1:5" ht="15">
      <c r="A2302" s="223" t="s">
        <v>458</v>
      </c>
      <c r="B2302" s="223">
        <v>21</v>
      </c>
      <c r="C2302" s="223">
        <v>26</v>
      </c>
      <c r="D2302" s="223">
        <v>5</v>
      </c>
      <c r="E2302" s="223">
        <v>15050</v>
      </c>
    </row>
    <row r="2303" spans="1:5" ht="15">
      <c r="A2303" s="223" t="s">
        <v>458</v>
      </c>
      <c r="B2303" s="223">
        <v>21</v>
      </c>
      <c r="C2303" s="223">
        <v>26</v>
      </c>
      <c r="D2303" s="223">
        <v>7</v>
      </c>
      <c r="E2303" s="223">
        <v>55100</v>
      </c>
    </row>
    <row r="2304" spans="1:5" ht="15">
      <c r="A2304" s="223" t="s">
        <v>458</v>
      </c>
      <c r="B2304" s="223">
        <v>21</v>
      </c>
      <c r="C2304" s="223">
        <v>26</v>
      </c>
      <c r="D2304" s="223">
        <v>8</v>
      </c>
      <c r="E2304" s="223">
        <v>12500</v>
      </c>
    </row>
    <row r="2305" spans="1:5" ht="15">
      <c r="A2305" s="223" t="s">
        <v>458</v>
      </c>
      <c r="B2305" s="223">
        <v>21</v>
      </c>
      <c r="C2305" s="223">
        <v>27</v>
      </c>
      <c r="D2305" s="223">
        <v>2</v>
      </c>
      <c r="E2305" s="223">
        <v>8557663</v>
      </c>
    </row>
    <row r="2306" spans="1:5" ht="15">
      <c r="A2306" s="223" t="s">
        <v>458</v>
      </c>
      <c r="B2306" s="223">
        <v>21</v>
      </c>
      <c r="C2306" s="223">
        <v>27</v>
      </c>
      <c r="D2306" s="223">
        <v>3</v>
      </c>
      <c r="E2306" s="223">
        <v>5749157</v>
      </c>
    </row>
    <row r="2307" spans="1:5" ht="15">
      <c r="A2307" s="223" t="s">
        <v>458</v>
      </c>
      <c r="B2307" s="223">
        <v>21</v>
      </c>
      <c r="C2307" s="223">
        <v>27</v>
      </c>
      <c r="D2307" s="223">
        <v>4</v>
      </c>
      <c r="E2307" s="223">
        <v>6974291</v>
      </c>
    </row>
    <row r="2308" spans="1:5" ht="15">
      <c r="A2308" s="223" t="s">
        <v>458</v>
      </c>
      <c r="B2308" s="223">
        <v>21</v>
      </c>
      <c r="C2308" s="223">
        <v>27</v>
      </c>
      <c r="D2308" s="223">
        <v>5</v>
      </c>
      <c r="E2308" s="223">
        <v>92730</v>
      </c>
    </row>
    <row r="2309" spans="1:5" ht="15">
      <c r="A2309" s="223" t="s">
        <v>458</v>
      </c>
      <c r="B2309" s="223">
        <v>21</v>
      </c>
      <c r="C2309" s="223">
        <v>27</v>
      </c>
      <c r="D2309" s="223">
        <v>7</v>
      </c>
      <c r="E2309" s="223">
        <v>161000</v>
      </c>
    </row>
    <row r="2310" spans="1:5" ht="15">
      <c r="A2310" s="223" t="s">
        <v>458</v>
      </c>
      <c r="B2310" s="223">
        <v>21</v>
      </c>
      <c r="C2310" s="223">
        <v>27</v>
      </c>
      <c r="D2310" s="223">
        <v>8</v>
      </c>
      <c r="E2310" s="223">
        <v>10000</v>
      </c>
    </row>
    <row r="2311" spans="1:5" ht="15">
      <c r="A2311" s="223" t="s">
        <v>458</v>
      </c>
      <c r="B2311" s="223">
        <v>21</v>
      </c>
      <c r="C2311" s="223">
        <v>31</v>
      </c>
      <c r="D2311" s="223">
        <v>2</v>
      </c>
      <c r="E2311" s="223">
        <v>228358</v>
      </c>
    </row>
    <row r="2312" spans="1:5" ht="15">
      <c r="A2312" s="223" t="s">
        <v>458</v>
      </c>
      <c r="B2312" s="223">
        <v>21</v>
      </c>
      <c r="C2312" s="223">
        <v>31</v>
      </c>
      <c r="D2312" s="223">
        <v>4</v>
      </c>
      <c r="E2312" s="223">
        <v>50825</v>
      </c>
    </row>
    <row r="2313" spans="1:5" ht="15">
      <c r="A2313" s="223" t="s">
        <v>458</v>
      </c>
      <c r="B2313" s="223">
        <v>21</v>
      </c>
      <c r="C2313" s="223">
        <v>31</v>
      </c>
      <c r="D2313" s="223">
        <v>5</v>
      </c>
      <c r="E2313" s="223">
        <v>1000</v>
      </c>
    </row>
    <row r="2314" spans="1:5" ht="15">
      <c r="A2314" s="223" t="s">
        <v>458</v>
      </c>
      <c r="B2314" s="223">
        <v>21</v>
      </c>
      <c r="C2314" s="223">
        <v>31</v>
      </c>
      <c r="D2314" s="223">
        <v>7</v>
      </c>
      <c r="E2314" s="223">
        <v>6000</v>
      </c>
    </row>
    <row r="2315" spans="1:5" ht="15">
      <c r="A2315" s="223" t="s">
        <v>458</v>
      </c>
      <c r="B2315" s="223">
        <v>21</v>
      </c>
      <c r="C2315" s="223">
        <v>31</v>
      </c>
      <c r="D2315" s="223">
        <v>8</v>
      </c>
      <c r="E2315" s="223">
        <v>1750</v>
      </c>
    </row>
    <row r="2316" spans="1:5" ht="15">
      <c r="A2316" s="223" t="s">
        <v>458</v>
      </c>
      <c r="B2316" s="223">
        <v>21</v>
      </c>
      <c r="C2316" s="223">
        <v>34</v>
      </c>
      <c r="D2316" s="223">
        <v>2</v>
      </c>
      <c r="E2316" s="223">
        <v>171294</v>
      </c>
    </row>
    <row r="2317" spans="1:5" ht="15">
      <c r="A2317" s="223" t="s">
        <v>458</v>
      </c>
      <c r="B2317" s="223">
        <v>21</v>
      </c>
      <c r="C2317" s="223">
        <v>34</v>
      </c>
      <c r="D2317" s="223">
        <v>4</v>
      </c>
      <c r="E2317" s="223">
        <v>38141</v>
      </c>
    </row>
    <row r="2318" spans="1:5" ht="15">
      <c r="A2318" s="223" t="s">
        <v>458</v>
      </c>
      <c r="B2318" s="223">
        <v>23</v>
      </c>
      <c r="C2318" s="223">
        <v>25</v>
      </c>
      <c r="D2318" s="223">
        <v>3</v>
      </c>
      <c r="E2318" s="223">
        <v>160382</v>
      </c>
    </row>
    <row r="2319" spans="1:5" ht="15">
      <c r="A2319" s="223" t="s">
        <v>458</v>
      </c>
      <c r="B2319" s="223">
        <v>23</v>
      </c>
      <c r="C2319" s="223">
        <v>25</v>
      </c>
      <c r="D2319" s="223">
        <v>4</v>
      </c>
      <c r="E2319" s="223">
        <v>105999</v>
      </c>
    </row>
    <row r="2320" spans="1:5" ht="15">
      <c r="A2320" s="223" t="s">
        <v>458</v>
      </c>
      <c r="B2320" s="223">
        <v>23</v>
      </c>
      <c r="C2320" s="223">
        <v>26</v>
      </c>
      <c r="D2320" s="223">
        <v>2</v>
      </c>
      <c r="E2320" s="223">
        <v>75985</v>
      </c>
    </row>
    <row r="2321" spans="1:5" ht="15">
      <c r="A2321" s="223" t="s">
        <v>458</v>
      </c>
      <c r="B2321" s="223">
        <v>23</v>
      </c>
      <c r="C2321" s="223">
        <v>26</v>
      </c>
      <c r="D2321" s="223">
        <v>4</v>
      </c>
      <c r="E2321" s="223">
        <v>29564</v>
      </c>
    </row>
    <row r="2322" spans="1:5" ht="15">
      <c r="A2322" s="223" t="s">
        <v>458</v>
      </c>
      <c r="B2322" s="223">
        <v>23</v>
      </c>
      <c r="C2322" s="223">
        <v>27</v>
      </c>
      <c r="D2322" s="223">
        <v>3</v>
      </c>
      <c r="E2322" s="223">
        <v>200600</v>
      </c>
    </row>
    <row r="2323" spans="1:5" ht="15">
      <c r="A2323" s="223" t="s">
        <v>458</v>
      </c>
      <c r="B2323" s="223">
        <v>23</v>
      </c>
      <c r="C2323" s="223">
        <v>27</v>
      </c>
      <c r="D2323" s="223">
        <v>4</v>
      </c>
      <c r="E2323" s="223">
        <v>38716</v>
      </c>
    </row>
    <row r="2324" spans="1:5" ht="15">
      <c r="A2324" s="223" t="s">
        <v>458</v>
      </c>
      <c r="B2324" s="223">
        <v>23</v>
      </c>
      <c r="C2324" s="223">
        <v>31</v>
      </c>
      <c r="D2324" s="223">
        <v>2</v>
      </c>
      <c r="E2324" s="223">
        <v>2860</v>
      </c>
    </row>
    <row r="2325" spans="1:5" ht="15">
      <c r="A2325" s="223" t="s">
        <v>458</v>
      </c>
      <c r="B2325" s="223">
        <v>23</v>
      </c>
      <c r="C2325" s="223">
        <v>31</v>
      </c>
      <c r="D2325" s="223">
        <v>4</v>
      </c>
      <c r="E2325" s="223">
        <v>636</v>
      </c>
    </row>
    <row r="2326" spans="1:5" ht="15">
      <c r="A2326" s="223" t="s">
        <v>458</v>
      </c>
      <c r="B2326" s="223">
        <v>24</v>
      </c>
      <c r="C2326" s="223">
        <v>21</v>
      </c>
      <c r="D2326" s="223">
        <v>3</v>
      </c>
      <c r="E2326" s="223">
        <v>43208</v>
      </c>
    </row>
    <row r="2327" spans="1:5" ht="15">
      <c r="A2327" s="223" t="s">
        <v>458</v>
      </c>
      <c r="B2327" s="223">
        <v>24</v>
      </c>
      <c r="C2327" s="223">
        <v>21</v>
      </c>
      <c r="D2327" s="223">
        <v>4</v>
      </c>
      <c r="E2327" s="223">
        <v>21002</v>
      </c>
    </row>
    <row r="2328" spans="1:5" ht="15">
      <c r="A2328" s="223" t="s">
        <v>458</v>
      </c>
      <c r="B2328" s="223">
        <v>24</v>
      </c>
      <c r="C2328" s="223">
        <v>21</v>
      </c>
      <c r="D2328" s="223">
        <v>5</v>
      </c>
      <c r="E2328" s="223">
        <v>3000</v>
      </c>
    </row>
    <row r="2329" spans="1:5" ht="15">
      <c r="A2329" s="223" t="s">
        <v>458</v>
      </c>
      <c r="B2329" s="223">
        <v>24</v>
      </c>
      <c r="C2329" s="223">
        <v>21</v>
      </c>
      <c r="D2329" s="223">
        <v>7</v>
      </c>
      <c r="E2329" s="223">
        <v>3000</v>
      </c>
    </row>
    <row r="2330" spans="1:5" ht="15">
      <c r="A2330" s="223" t="s">
        <v>458</v>
      </c>
      <c r="B2330" s="223">
        <v>24</v>
      </c>
      <c r="C2330" s="223">
        <v>26</v>
      </c>
      <c r="D2330" s="223">
        <v>2</v>
      </c>
      <c r="E2330" s="223">
        <v>88058</v>
      </c>
    </row>
    <row r="2331" spans="1:5" ht="15">
      <c r="A2331" s="223" t="s">
        <v>458</v>
      </c>
      <c r="B2331" s="223">
        <v>24</v>
      </c>
      <c r="C2331" s="223">
        <v>26</v>
      </c>
      <c r="D2331" s="223">
        <v>3</v>
      </c>
      <c r="E2331" s="223">
        <v>249835</v>
      </c>
    </row>
    <row r="2332" spans="1:5" ht="15">
      <c r="A2332" s="223" t="s">
        <v>458</v>
      </c>
      <c r="B2332" s="223">
        <v>24</v>
      </c>
      <c r="C2332" s="223">
        <v>26</v>
      </c>
      <c r="D2332" s="223">
        <v>4</v>
      </c>
      <c r="E2332" s="223">
        <v>160935</v>
      </c>
    </row>
    <row r="2333" spans="1:5" ht="15">
      <c r="A2333" s="223" t="s">
        <v>458</v>
      </c>
      <c r="B2333" s="223">
        <v>24</v>
      </c>
      <c r="C2333" s="223">
        <v>26</v>
      </c>
      <c r="D2333" s="223">
        <v>5</v>
      </c>
      <c r="E2333" s="223">
        <v>40000</v>
      </c>
    </row>
    <row r="2334" spans="1:5" ht="15">
      <c r="A2334" s="223" t="s">
        <v>458</v>
      </c>
      <c r="B2334" s="223">
        <v>24</v>
      </c>
      <c r="C2334" s="223">
        <v>26</v>
      </c>
      <c r="D2334" s="223">
        <v>7</v>
      </c>
      <c r="E2334" s="223">
        <v>40200</v>
      </c>
    </row>
    <row r="2335" spans="1:5" ht="15">
      <c r="A2335" s="223" t="s">
        <v>458</v>
      </c>
      <c r="B2335" s="223">
        <v>24</v>
      </c>
      <c r="C2335" s="223">
        <v>27</v>
      </c>
      <c r="D2335" s="223">
        <v>0</v>
      </c>
      <c r="E2335" s="223">
        <v>2500</v>
      </c>
    </row>
    <row r="2336" spans="1:5" ht="15">
      <c r="A2336" s="223" t="s">
        <v>458</v>
      </c>
      <c r="B2336" s="223">
        <v>24</v>
      </c>
      <c r="C2336" s="223">
        <v>27</v>
      </c>
      <c r="D2336" s="223">
        <v>2</v>
      </c>
      <c r="E2336" s="223">
        <v>990877</v>
      </c>
    </row>
    <row r="2337" spans="1:5" ht="15">
      <c r="A2337" s="223" t="s">
        <v>458</v>
      </c>
      <c r="B2337" s="223">
        <v>24</v>
      </c>
      <c r="C2337" s="223">
        <v>27</v>
      </c>
      <c r="D2337" s="223">
        <v>3</v>
      </c>
      <c r="E2337" s="223">
        <v>501511</v>
      </c>
    </row>
    <row r="2338" spans="1:5" ht="15">
      <c r="A2338" s="223" t="s">
        <v>458</v>
      </c>
      <c r="B2338" s="223">
        <v>24</v>
      </c>
      <c r="C2338" s="223">
        <v>27</v>
      </c>
      <c r="D2338" s="223">
        <v>4</v>
      </c>
      <c r="E2338" s="223">
        <v>654452</v>
      </c>
    </row>
    <row r="2339" spans="1:5" ht="15">
      <c r="A2339" s="223" t="s">
        <v>458</v>
      </c>
      <c r="B2339" s="223">
        <v>24</v>
      </c>
      <c r="C2339" s="223">
        <v>27</v>
      </c>
      <c r="D2339" s="223">
        <v>5</v>
      </c>
      <c r="E2339" s="223">
        <v>25000</v>
      </c>
    </row>
    <row r="2340" spans="1:5" ht="15">
      <c r="A2340" s="223" t="s">
        <v>458</v>
      </c>
      <c r="B2340" s="223">
        <v>24</v>
      </c>
      <c r="C2340" s="223">
        <v>27</v>
      </c>
      <c r="D2340" s="223">
        <v>7</v>
      </c>
      <c r="E2340" s="223">
        <v>565500</v>
      </c>
    </row>
    <row r="2341" spans="1:5" ht="15">
      <c r="A2341" s="223" t="s">
        <v>458</v>
      </c>
      <c r="B2341" s="223">
        <v>24</v>
      </c>
      <c r="C2341" s="223">
        <v>27</v>
      </c>
      <c r="D2341" s="223">
        <v>8</v>
      </c>
      <c r="E2341" s="223">
        <v>1500</v>
      </c>
    </row>
    <row r="2342" spans="1:5" ht="15">
      <c r="A2342" s="223" t="s">
        <v>458</v>
      </c>
      <c r="B2342" s="223">
        <v>24</v>
      </c>
      <c r="C2342" s="223">
        <v>31</v>
      </c>
      <c r="D2342" s="223">
        <v>2</v>
      </c>
      <c r="E2342" s="223">
        <v>35734</v>
      </c>
    </row>
    <row r="2343" spans="1:5" ht="15">
      <c r="A2343" s="223" t="s">
        <v>458</v>
      </c>
      <c r="B2343" s="223">
        <v>24</v>
      </c>
      <c r="C2343" s="223">
        <v>31</v>
      </c>
      <c r="D2343" s="223">
        <v>4</v>
      </c>
      <c r="E2343" s="223">
        <v>7952</v>
      </c>
    </row>
    <row r="2344" spans="1:5" ht="15">
      <c r="A2344" s="223" t="s">
        <v>458</v>
      </c>
      <c r="B2344" s="223">
        <v>24</v>
      </c>
      <c r="C2344" s="223">
        <v>31</v>
      </c>
      <c r="D2344" s="223">
        <v>7</v>
      </c>
      <c r="E2344" s="223">
        <v>22200</v>
      </c>
    </row>
    <row r="2345" spans="1:5" ht="15">
      <c r="A2345" s="223" t="s">
        <v>458</v>
      </c>
      <c r="B2345" s="223">
        <v>24</v>
      </c>
      <c r="C2345" s="223">
        <v>31</v>
      </c>
      <c r="D2345" s="223">
        <v>8</v>
      </c>
      <c r="E2345" s="223">
        <v>10946</v>
      </c>
    </row>
    <row r="2346" spans="1:5" ht="15">
      <c r="A2346" s="223" t="s">
        <v>458</v>
      </c>
      <c r="B2346" s="223">
        <v>24</v>
      </c>
      <c r="C2346" s="223">
        <v>32</v>
      </c>
      <c r="D2346" s="223">
        <v>5</v>
      </c>
      <c r="E2346" s="223">
        <v>5000</v>
      </c>
    </row>
    <row r="2347" spans="1:5" ht="15">
      <c r="A2347" s="223" t="s">
        <v>458</v>
      </c>
      <c r="B2347" s="223">
        <v>24</v>
      </c>
      <c r="C2347" s="223">
        <v>33</v>
      </c>
      <c r="D2347" s="223">
        <v>5</v>
      </c>
      <c r="E2347" s="223">
        <v>15000</v>
      </c>
    </row>
    <row r="2348" spans="1:5" ht="15">
      <c r="A2348" s="223" t="s">
        <v>458</v>
      </c>
      <c r="B2348" s="223">
        <v>24</v>
      </c>
      <c r="C2348" s="223">
        <v>33</v>
      </c>
      <c r="D2348" s="223">
        <v>7</v>
      </c>
      <c r="E2348" s="223">
        <v>5000</v>
      </c>
    </row>
    <row r="2349" spans="1:5" ht="15">
      <c r="A2349" s="223" t="s">
        <v>458</v>
      </c>
      <c r="B2349" s="223">
        <v>29</v>
      </c>
      <c r="C2349" s="223">
        <v>27</v>
      </c>
      <c r="D2349" s="223">
        <v>2</v>
      </c>
      <c r="E2349" s="223">
        <v>13000</v>
      </c>
    </row>
    <row r="2350" spans="1:5" ht="15">
      <c r="A2350" s="223" t="s">
        <v>458</v>
      </c>
      <c r="B2350" s="223">
        <v>29</v>
      </c>
      <c r="C2350" s="223">
        <v>27</v>
      </c>
      <c r="D2350" s="223">
        <v>3</v>
      </c>
      <c r="E2350" s="223">
        <v>500</v>
      </c>
    </row>
    <row r="2351" spans="1:5" ht="15">
      <c r="A2351" s="223" t="s">
        <v>458</v>
      </c>
      <c r="B2351" s="223">
        <v>29</v>
      </c>
      <c r="C2351" s="223">
        <v>27</v>
      </c>
      <c r="D2351" s="223">
        <v>4</v>
      </c>
      <c r="E2351" s="223">
        <v>2967</v>
      </c>
    </row>
    <row r="2352" spans="1:5" ht="15">
      <c r="A2352" s="223" t="s">
        <v>460</v>
      </c>
      <c r="B2352" s="223">
        <v>21</v>
      </c>
      <c r="C2352" s="223">
        <v>21</v>
      </c>
      <c r="D2352" s="223">
        <v>0</v>
      </c>
      <c r="E2352" s="223">
        <v>3000</v>
      </c>
    </row>
    <row r="2353" spans="1:5" ht="15">
      <c r="A2353" s="223" t="s">
        <v>460</v>
      </c>
      <c r="B2353" s="223">
        <v>21</v>
      </c>
      <c r="C2353" s="223">
        <v>21</v>
      </c>
      <c r="D2353" s="223">
        <v>2</v>
      </c>
      <c r="E2353" s="223">
        <v>1037284</v>
      </c>
    </row>
    <row r="2354" spans="1:5" ht="15">
      <c r="A2354" s="223" t="s">
        <v>460</v>
      </c>
      <c r="B2354" s="223">
        <v>21</v>
      </c>
      <c r="C2354" s="223">
        <v>21</v>
      </c>
      <c r="D2354" s="223">
        <v>3</v>
      </c>
      <c r="E2354" s="223">
        <v>540838</v>
      </c>
    </row>
    <row r="2355" spans="1:5" ht="15">
      <c r="A2355" s="223" t="s">
        <v>460</v>
      </c>
      <c r="B2355" s="223">
        <v>21</v>
      </c>
      <c r="C2355" s="223">
        <v>21</v>
      </c>
      <c r="D2355" s="223">
        <v>4</v>
      </c>
      <c r="E2355" s="223">
        <v>523721</v>
      </c>
    </row>
    <row r="2356" spans="1:5" ht="15">
      <c r="A2356" s="223" t="s">
        <v>460</v>
      </c>
      <c r="B2356" s="223">
        <v>21</v>
      </c>
      <c r="C2356" s="223">
        <v>21</v>
      </c>
      <c r="D2356" s="223">
        <v>5</v>
      </c>
      <c r="E2356" s="223">
        <v>40500</v>
      </c>
    </row>
    <row r="2357" spans="1:5" ht="15">
      <c r="A2357" s="223" t="s">
        <v>460</v>
      </c>
      <c r="B2357" s="223">
        <v>21</v>
      </c>
      <c r="C2357" s="223">
        <v>21</v>
      </c>
      <c r="D2357" s="223">
        <v>7</v>
      </c>
      <c r="E2357" s="223">
        <v>375000</v>
      </c>
    </row>
    <row r="2358" spans="1:5" ht="15">
      <c r="A2358" s="223" t="s">
        <v>460</v>
      </c>
      <c r="B2358" s="223">
        <v>21</v>
      </c>
      <c r="C2358" s="223">
        <v>21</v>
      </c>
      <c r="D2358" s="223">
        <v>8</v>
      </c>
      <c r="E2358" s="223">
        <v>20000</v>
      </c>
    </row>
    <row r="2359" spans="1:5" ht="15">
      <c r="A2359" s="223" t="s">
        <v>460</v>
      </c>
      <c r="B2359" s="223">
        <v>21</v>
      </c>
      <c r="C2359" s="223">
        <v>23</v>
      </c>
      <c r="D2359" s="223">
        <v>2</v>
      </c>
      <c r="E2359" s="223">
        <v>197665</v>
      </c>
    </row>
    <row r="2360" spans="1:5" ht="15">
      <c r="A2360" s="223" t="s">
        <v>460</v>
      </c>
      <c r="B2360" s="223">
        <v>21</v>
      </c>
      <c r="C2360" s="223">
        <v>23</v>
      </c>
      <c r="D2360" s="223">
        <v>4</v>
      </c>
      <c r="E2360" s="223">
        <v>53947</v>
      </c>
    </row>
    <row r="2361" spans="1:5" ht="15">
      <c r="A2361" s="223" t="s">
        <v>460</v>
      </c>
      <c r="B2361" s="223">
        <v>21</v>
      </c>
      <c r="C2361" s="223">
        <v>24</v>
      </c>
      <c r="D2361" s="223">
        <v>2</v>
      </c>
      <c r="E2361" s="223">
        <v>82624</v>
      </c>
    </row>
    <row r="2362" spans="1:5" ht="15">
      <c r="A2362" s="223" t="s">
        <v>460</v>
      </c>
      <c r="B2362" s="223">
        <v>21</v>
      </c>
      <c r="C2362" s="223">
        <v>24</v>
      </c>
      <c r="D2362" s="223">
        <v>4</v>
      </c>
      <c r="E2362" s="223">
        <v>30710</v>
      </c>
    </row>
    <row r="2363" spans="1:5" ht="15">
      <c r="A2363" s="223" t="s">
        <v>460</v>
      </c>
      <c r="B2363" s="223">
        <v>21</v>
      </c>
      <c r="C2363" s="223">
        <v>26</v>
      </c>
      <c r="D2363" s="223">
        <v>2</v>
      </c>
      <c r="E2363" s="223">
        <v>11835569</v>
      </c>
    </row>
    <row r="2364" spans="1:5" ht="15">
      <c r="A2364" s="223" t="s">
        <v>460</v>
      </c>
      <c r="B2364" s="223">
        <v>21</v>
      </c>
      <c r="C2364" s="223">
        <v>26</v>
      </c>
      <c r="D2364" s="223">
        <v>3</v>
      </c>
      <c r="E2364" s="223">
        <v>341729</v>
      </c>
    </row>
    <row r="2365" spans="1:5" ht="15">
      <c r="A2365" s="223" t="s">
        <v>460</v>
      </c>
      <c r="B2365" s="223">
        <v>21</v>
      </c>
      <c r="C2365" s="223">
        <v>26</v>
      </c>
      <c r="D2365" s="223">
        <v>4</v>
      </c>
      <c r="E2365" s="223">
        <v>4249621</v>
      </c>
    </row>
    <row r="2366" spans="1:5" ht="15">
      <c r="A2366" s="223" t="s">
        <v>460</v>
      </c>
      <c r="B2366" s="223">
        <v>21</v>
      </c>
      <c r="C2366" s="223">
        <v>26</v>
      </c>
      <c r="D2366" s="223">
        <v>5</v>
      </c>
      <c r="E2366" s="223">
        <v>63300</v>
      </c>
    </row>
    <row r="2367" spans="1:5" ht="15">
      <c r="A2367" s="223" t="s">
        <v>460</v>
      </c>
      <c r="B2367" s="223">
        <v>21</v>
      </c>
      <c r="C2367" s="223">
        <v>26</v>
      </c>
      <c r="D2367" s="223">
        <v>7</v>
      </c>
      <c r="E2367" s="223">
        <v>1860000</v>
      </c>
    </row>
    <row r="2368" spans="1:5" ht="15">
      <c r="A2368" s="223" t="s">
        <v>460</v>
      </c>
      <c r="B2368" s="223">
        <v>21</v>
      </c>
      <c r="C2368" s="223">
        <v>27</v>
      </c>
      <c r="D2368" s="223">
        <v>0</v>
      </c>
      <c r="E2368" s="223">
        <v>131000</v>
      </c>
    </row>
    <row r="2369" spans="1:5" ht="15">
      <c r="A2369" s="223" t="s">
        <v>460</v>
      </c>
      <c r="B2369" s="223">
        <v>21</v>
      </c>
      <c r="C2369" s="223">
        <v>27</v>
      </c>
      <c r="D2369" s="223">
        <v>2</v>
      </c>
      <c r="E2369" s="223">
        <v>16203073</v>
      </c>
    </row>
    <row r="2370" spans="1:5" ht="15">
      <c r="A2370" s="223" t="s">
        <v>460</v>
      </c>
      <c r="B2370" s="223">
        <v>21</v>
      </c>
      <c r="C2370" s="223">
        <v>27</v>
      </c>
      <c r="D2370" s="223">
        <v>3</v>
      </c>
      <c r="E2370" s="223">
        <v>10366743</v>
      </c>
    </row>
    <row r="2371" spans="1:5" ht="15">
      <c r="A2371" s="223" t="s">
        <v>460</v>
      </c>
      <c r="B2371" s="223">
        <v>21</v>
      </c>
      <c r="C2371" s="223">
        <v>27</v>
      </c>
      <c r="D2371" s="223">
        <v>4</v>
      </c>
      <c r="E2371" s="223">
        <v>11305331</v>
      </c>
    </row>
    <row r="2372" spans="1:5" ht="15">
      <c r="A2372" s="223" t="s">
        <v>460</v>
      </c>
      <c r="B2372" s="223">
        <v>21</v>
      </c>
      <c r="C2372" s="223">
        <v>27</v>
      </c>
      <c r="D2372" s="223">
        <v>5</v>
      </c>
      <c r="E2372" s="223">
        <v>110000</v>
      </c>
    </row>
    <row r="2373" spans="1:5" ht="15">
      <c r="A2373" s="223" t="s">
        <v>460</v>
      </c>
      <c r="B2373" s="223">
        <v>21</v>
      </c>
      <c r="C2373" s="223">
        <v>27</v>
      </c>
      <c r="D2373" s="223">
        <v>7</v>
      </c>
      <c r="E2373" s="223">
        <v>2917000</v>
      </c>
    </row>
    <row r="2374" spans="1:5" ht="15">
      <c r="A2374" s="223" t="s">
        <v>460</v>
      </c>
      <c r="B2374" s="223">
        <v>21</v>
      </c>
      <c r="C2374" s="223">
        <v>27</v>
      </c>
      <c r="D2374" s="223">
        <v>8</v>
      </c>
      <c r="E2374" s="223">
        <v>16200</v>
      </c>
    </row>
    <row r="2375" spans="1:5" ht="15">
      <c r="A2375" s="223" t="s">
        <v>460</v>
      </c>
      <c r="B2375" s="223">
        <v>21</v>
      </c>
      <c r="C2375" s="223">
        <v>31</v>
      </c>
      <c r="D2375" s="223">
        <v>2</v>
      </c>
      <c r="E2375" s="223">
        <v>520132</v>
      </c>
    </row>
    <row r="2376" spans="1:5" ht="15">
      <c r="A2376" s="223" t="s">
        <v>460</v>
      </c>
      <c r="B2376" s="223">
        <v>21</v>
      </c>
      <c r="C2376" s="223">
        <v>31</v>
      </c>
      <c r="D2376" s="223">
        <v>3</v>
      </c>
      <c r="E2376" s="223">
        <v>258914</v>
      </c>
    </row>
    <row r="2377" spans="1:5" ht="15">
      <c r="A2377" s="223" t="s">
        <v>460</v>
      </c>
      <c r="B2377" s="223">
        <v>21</v>
      </c>
      <c r="C2377" s="223">
        <v>31</v>
      </c>
      <c r="D2377" s="223">
        <v>4</v>
      </c>
      <c r="E2377" s="223">
        <v>170913</v>
      </c>
    </row>
    <row r="2378" spans="1:5" ht="15">
      <c r="A2378" s="223" t="s">
        <v>460</v>
      </c>
      <c r="B2378" s="223">
        <v>21</v>
      </c>
      <c r="C2378" s="223">
        <v>33</v>
      </c>
      <c r="D2378" s="223">
        <v>5</v>
      </c>
      <c r="E2378" s="223">
        <v>250000</v>
      </c>
    </row>
    <row r="2379" spans="1:5" ht="15">
      <c r="A2379" s="223" t="s">
        <v>460</v>
      </c>
      <c r="B2379" s="223">
        <v>23</v>
      </c>
      <c r="C2379" s="223">
        <v>27</v>
      </c>
      <c r="D2379" s="223">
        <v>7</v>
      </c>
      <c r="E2379" s="223">
        <v>300000</v>
      </c>
    </row>
    <row r="2380" spans="1:5" ht="15">
      <c r="A2380" s="223" t="s">
        <v>460</v>
      </c>
      <c r="B2380" s="223">
        <v>24</v>
      </c>
      <c r="C2380" s="223">
        <v>24</v>
      </c>
      <c r="D2380" s="223">
        <v>0</v>
      </c>
      <c r="E2380" s="223">
        <v>500</v>
      </c>
    </row>
    <row r="2381" spans="1:5" ht="15">
      <c r="A2381" s="223" t="s">
        <v>460</v>
      </c>
      <c r="B2381" s="223">
        <v>24</v>
      </c>
      <c r="C2381" s="223">
        <v>27</v>
      </c>
      <c r="D2381" s="223">
        <v>2</v>
      </c>
      <c r="E2381" s="223">
        <v>29210</v>
      </c>
    </row>
    <row r="2382" spans="1:5" ht="15">
      <c r="A2382" s="223" t="s">
        <v>460</v>
      </c>
      <c r="B2382" s="223">
        <v>24</v>
      </c>
      <c r="C2382" s="223">
        <v>27</v>
      </c>
      <c r="D2382" s="223">
        <v>4</v>
      </c>
      <c r="E2382" s="223">
        <v>10198</v>
      </c>
    </row>
    <row r="2383" spans="1:5" ht="15">
      <c r="A2383" s="223" t="s">
        <v>460</v>
      </c>
      <c r="B2383" s="223">
        <v>24</v>
      </c>
      <c r="C2383" s="223">
        <v>27</v>
      </c>
      <c r="D2383" s="223">
        <v>5</v>
      </c>
      <c r="E2383" s="223">
        <v>136000</v>
      </c>
    </row>
    <row r="2384" spans="1:5" ht="15">
      <c r="A2384" s="223" t="s">
        <v>460</v>
      </c>
      <c r="B2384" s="223">
        <v>24</v>
      </c>
      <c r="C2384" s="223">
        <v>27</v>
      </c>
      <c r="D2384" s="223">
        <v>7</v>
      </c>
      <c r="E2384" s="223">
        <v>4454566</v>
      </c>
    </row>
    <row r="2385" spans="1:5" ht="15">
      <c r="A2385" s="223" t="s">
        <v>460</v>
      </c>
      <c r="B2385" s="223">
        <v>24</v>
      </c>
      <c r="C2385" s="223">
        <v>29</v>
      </c>
      <c r="D2385" s="223">
        <v>7</v>
      </c>
      <c r="E2385" s="223">
        <v>1300000</v>
      </c>
    </row>
    <row r="2386" spans="1:5" ht="15">
      <c r="A2386" s="223" t="s">
        <v>460</v>
      </c>
      <c r="B2386" s="223">
        <v>24</v>
      </c>
      <c r="C2386" s="223">
        <v>31</v>
      </c>
      <c r="D2386" s="223">
        <v>2</v>
      </c>
      <c r="E2386" s="223">
        <v>422</v>
      </c>
    </row>
    <row r="2387" spans="1:5" ht="15">
      <c r="A2387" s="223" t="s">
        <v>460</v>
      </c>
      <c r="B2387" s="223">
        <v>24</v>
      </c>
      <c r="C2387" s="223">
        <v>31</v>
      </c>
      <c r="D2387" s="223">
        <v>4</v>
      </c>
      <c r="E2387" s="223">
        <v>104</v>
      </c>
    </row>
    <row r="2388" spans="1:5" ht="15">
      <c r="A2388" s="223" t="s">
        <v>479</v>
      </c>
      <c r="B2388" s="223">
        <v>21</v>
      </c>
      <c r="C2388" s="223">
        <v>21</v>
      </c>
      <c r="D2388" s="223">
        <v>2</v>
      </c>
      <c r="E2388" s="223">
        <v>36318</v>
      </c>
    </row>
    <row r="2389" spans="1:5" ht="15">
      <c r="A2389" s="223" t="s">
        <v>479</v>
      </c>
      <c r="B2389" s="223">
        <v>21</v>
      </c>
      <c r="C2389" s="223">
        <v>21</v>
      </c>
      <c r="D2389" s="223">
        <v>4</v>
      </c>
      <c r="E2389" s="223">
        <v>14691</v>
      </c>
    </row>
    <row r="2390" spans="1:5" ht="15">
      <c r="A2390" s="223" t="s">
        <v>479</v>
      </c>
      <c r="B2390" s="223">
        <v>21</v>
      </c>
      <c r="C2390" s="223">
        <v>21</v>
      </c>
      <c r="D2390" s="223">
        <v>8</v>
      </c>
      <c r="E2390" s="223">
        <v>500</v>
      </c>
    </row>
    <row r="2391" spans="1:5" ht="15">
      <c r="A2391" s="223" t="s">
        <v>479</v>
      </c>
      <c r="B2391" s="223">
        <v>21</v>
      </c>
      <c r="C2391" s="223">
        <v>23</v>
      </c>
      <c r="D2391" s="223">
        <v>3</v>
      </c>
      <c r="E2391" s="223">
        <v>21837</v>
      </c>
    </row>
    <row r="2392" spans="1:5" ht="15">
      <c r="A2392" s="223" t="s">
        <v>479</v>
      </c>
      <c r="B2392" s="223">
        <v>21</v>
      </c>
      <c r="C2392" s="223">
        <v>23</v>
      </c>
      <c r="D2392" s="223">
        <v>4</v>
      </c>
      <c r="E2392" s="223">
        <v>15367</v>
      </c>
    </row>
    <row r="2393" spans="1:5" ht="15">
      <c r="A2393" s="223" t="s">
        <v>479</v>
      </c>
      <c r="B2393" s="223">
        <v>21</v>
      </c>
      <c r="C2393" s="223">
        <v>23</v>
      </c>
      <c r="D2393" s="223">
        <v>5</v>
      </c>
      <c r="E2393" s="223">
        <v>3000</v>
      </c>
    </row>
    <row r="2394" spans="1:5" ht="15">
      <c r="A2394" s="223" t="s">
        <v>479</v>
      </c>
      <c r="B2394" s="223">
        <v>21</v>
      </c>
      <c r="C2394" s="223">
        <v>23</v>
      </c>
      <c r="D2394" s="223">
        <v>7</v>
      </c>
      <c r="E2394" s="223">
        <v>2000</v>
      </c>
    </row>
    <row r="2395" spans="1:5" ht="15">
      <c r="A2395" s="223" t="s">
        <v>479</v>
      </c>
      <c r="B2395" s="223">
        <v>21</v>
      </c>
      <c r="C2395" s="223">
        <v>25</v>
      </c>
      <c r="D2395" s="223">
        <v>5</v>
      </c>
      <c r="E2395" s="223">
        <v>500</v>
      </c>
    </row>
    <row r="2396" spans="1:5" ht="15">
      <c r="A2396" s="223" t="s">
        <v>479</v>
      </c>
      <c r="B2396" s="223">
        <v>21</v>
      </c>
      <c r="C2396" s="223">
        <v>26</v>
      </c>
      <c r="D2396" s="223">
        <v>2</v>
      </c>
      <c r="E2396" s="223">
        <v>156694</v>
      </c>
    </row>
    <row r="2397" spans="1:5" ht="15">
      <c r="A2397" s="223" t="s">
        <v>479</v>
      </c>
      <c r="B2397" s="223">
        <v>21</v>
      </c>
      <c r="C2397" s="223">
        <v>26</v>
      </c>
      <c r="D2397" s="223">
        <v>3</v>
      </c>
      <c r="E2397" s="223">
        <v>39254</v>
      </c>
    </row>
    <row r="2398" spans="1:5" ht="15">
      <c r="A2398" s="223" t="s">
        <v>479</v>
      </c>
      <c r="B2398" s="223">
        <v>21</v>
      </c>
      <c r="C2398" s="223">
        <v>26</v>
      </c>
      <c r="D2398" s="223">
        <v>4</v>
      </c>
      <c r="E2398" s="223">
        <v>82805</v>
      </c>
    </row>
    <row r="2399" spans="1:5" ht="15">
      <c r="A2399" s="223" t="s">
        <v>479</v>
      </c>
      <c r="B2399" s="223">
        <v>21</v>
      </c>
      <c r="C2399" s="223">
        <v>26</v>
      </c>
      <c r="D2399" s="223">
        <v>5</v>
      </c>
      <c r="E2399" s="223">
        <v>2000</v>
      </c>
    </row>
    <row r="2400" spans="1:5" ht="15">
      <c r="A2400" s="223" t="s">
        <v>479</v>
      </c>
      <c r="B2400" s="223">
        <v>21</v>
      </c>
      <c r="C2400" s="223">
        <v>26</v>
      </c>
      <c r="D2400" s="223">
        <v>7</v>
      </c>
      <c r="E2400" s="223">
        <v>79000</v>
      </c>
    </row>
    <row r="2401" spans="1:5" ht="15">
      <c r="A2401" s="223" t="s">
        <v>479</v>
      </c>
      <c r="B2401" s="223">
        <v>21</v>
      </c>
      <c r="C2401" s="223">
        <v>27</v>
      </c>
      <c r="D2401" s="223">
        <v>2</v>
      </c>
      <c r="E2401" s="223">
        <v>415298</v>
      </c>
    </row>
    <row r="2402" spans="1:5" ht="15">
      <c r="A2402" s="223" t="s">
        <v>479</v>
      </c>
      <c r="B2402" s="223">
        <v>21</v>
      </c>
      <c r="C2402" s="223">
        <v>27</v>
      </c>
      <c r="D2402" s="223">
        <v>3</v>
      </c>
      <c r="E2402" s="223">
        <v>341651</v>
      </c>
    </row>
    <row r="2403" spans="1:5" ht="15">
      <c r="A2403" s="223" t="s">
        <v>479</v>
      </c>
      <c r="B2403" s="223">
        <v>21</v>
      </c>
      <c r="C2403" s="223">
        <v>27</v>
      </c>
      <c r="D2403" s="223">
        <v>4</v>
      </c>
      <c r="E2403" s="223">
        <v>396607</v>
      </c>
    </row>
    <row r="2404" spans="1:5" ht="15">
      <c r="A2404" s="223" t="s">
        <v>479</v>
      </c>
      <c r="B2404" s="223">
        <v>21</v>
      </c>
      <c r="C2404" s="223">
        <v>27</v>
      </c>
      <c r="D2404" s="223">
        <v>5</v>
      </c>
      <c r="E2404" s="223">
        <v>7511</v>
      </c>
    </row>
    <row r="2405" spans="1:5" ht="15">
      <c r="A2405" s="223" t="s">
        <v>479</v>
      </c>
      <c r="B2405" s="223">
        <v>21</v>
      </c>
      <c r="C2405" s="223">
        <v>27</v>
      </c>
      <c r="D2405" s="223">
        <v>7</v>
      </c>
      <c r="E2405" s="223">
        <v>3500</v>
      </c>
    </row>
    <row r="2406" spans="1:5" ht="15">
      <c r="A2406" s="223" t="s">
        <v>479</v>
      </c>
      <c r="B2406" s="223">
        <v>21</v>
      </c>
      <c r="C2406" s="223">
        <v>27</v>
      </c>
      <c r="D2406" s="223">
        <v>8</v>
      </c>
      <c r="E2406" s="223">
        <v>8000</v>
      </c>
    </row>
    <row r="2407" spans="1:5" ht="15">
      <c r="A2407" s="223" t="s">
        <v>479</v>
      </c>
      <c r="B2407" s="223">
        <v>21</v>
      </c>
      <c r="C2407" s="223">
        <v>31</v>
      </c>
      <c r="D2407" s="223">
        <v>2</v>
      </c>
      <c r="E2407" s="223">
        <v>2779</v>
      </c>
    </row>
    <row r="2408" spans="1:5" ht="15">
      <c r="A2408" s="223" t="s">
        <v>479</v>
      </c>
      <c r="B2408" s="223">
        <v>21</v>
      </c>
      <c r="C2408" s="223">
        <v>31</v>
      </c>
      <c r="D2408" s="223">
        <v>4</v>
      </c>
      <c r="E2408" s="223">
        <v>631</v>
      </c>
    </row>
    <row r="2409" spans="1:5" ht="15">
      <c r="A2409" s="223" t="s">
        <v>479</v>
      </c>
      <c r="B2409" s="223">
        <v>21</v>
      </c>
      <c r="C2409" s="223">
        <v>31</v>
      </c>
      <c r="D2409" s="223">
        <v>7</v>
      </c>
      <c r="E2409" s="223">
        <v>3500</v>
      </c>
    </row>
    <row r="2410" spans="1:5" ht="15">
      <c r="A2410" s="223" t="s">
        <v>479</v>
      </c>
      <c r="B2410" s="223">
        <v>21</v>
      </c>
      <c r="C2410" s="223">
        <v>31</v>
      </c>
      <c r="D2410" s="223">
        <v>8</v>
      </c>
      <c r="E2410" s="223">
        <v>2000</v>
      </c>
    </row>
    <row r="2411" spans="1:5" ht="15">
      <c r="A2411" s="223" t="s">
        <v>479</v>
      </c>
      <c r="B2411" s="223">
        <v>21</v>
      </c>
      <c r="C2411" s="223">
        <v>33</v>
      </c>
      <c r="D2411" s="223">
        <v>5</v>
      </c>
      <c r="E2411" s="223">
        <v>2000</v>
      </c>
    </row>
    <row r="2412" spans="1:5" ht="15">
      <c r="A2412" s="223" t="s">
        <v>479</v>
      </c>
      <c r="B2412" s="223">
        <v>21</v>
      </c>
      <c r="C2412" s="223">
        <v>33</v>
      </c>
      <c r="D2412" s="223">
        <v>7</v>
      </c>
      <c r="E2412" s="223">
        <v>4500</v>
      </c>
    </row>
    <row r="2413" spans="1:5" ht="15">
      <c r="A2413" s="223" t="s">
        <v>479</v>
      </c>
      <c r="B2413" s="223">
        <v>21</v>
      </c>
      <c r="C2413" s="223">
        <v>34</v>
      </c>
      <c r="D2413" s="223">
        <v>2</v>
      </c>
      <c r="E2413" s="223">
        <v>8368</v>
      </c>
    </row>
    <row r="2414" spans="1:5" ht="15">
      <c r="A2414" s="223" t="s">
        <v>479</v>
      </c>
      <c r="B2414" s="223">
        <v>21</v>
      </c>
      <c r="C2414" s="223">
        <v>34</v>
      </c>
      <c r="D2414" s="223">
        <v>4</v>
      </c>
      <c r="E2414" s="223">
        <v>1901</v>
      </c>
    </row>
    <row r="2415" spans="1:5" ht="15">
      <c r="A2415" s="223" t="s">
        <v>479</v>
      </c>
      <c r="B2415" s="223">
        <v>23</v>
      </c>
      <c r="C2415" s="223">
        <v>27</v>
      </c>
      <c r="D2415" s="223">
        <v>2</v>
      </c>
      <c r="E2415" s="223">
        <v>19600</v>
      </c>
    </row>
    <row r="2416" spans="1:5" ht="15">
      <c r="A2416" s="223" t="s">
        <v>479</v>
      </c>
      <c r="B2416" s="223">
        <v>23</v>
      </c>
      <c r="C2416" s="223">
        <v>27</v>
      </c>
      <c r="D2416" s="223">
        <v>4</v>
      </c>
      <c r="E2416" s="223">
        <v>9556</v>
      </c>
    </row>
    <row r="2417" spans="1:5" ht="15">
      <c r="A2417" s="223" t="s">
        <v>479</v>
      </c>
      <c r="B2417" s="223">
        <v>24</v>
      </c>
      <c r="C2417" s="223">
        <v>27</v>
      </c>
      <c r="D2417" s="223">
        <v>2</v>
      </c>
      <c r="E2417" s="223">
        <v>29399</v>
      </c>
    </row>
    <row r="2418" spans="1:5" ht="15">
      <c r="A2418" s="223" t="s">
        <v>479</v>
      </c>
      <c r="B2418" s="223">
        <v>24</v>
      </c>
      <c r="C2418" s="223">
        <v>27</v>
      </c>
      <c r="D2418" s="223">
        <v>3</v>
      </c>
      <c r="E2418" s="223">
        <v>126142</v>
      </c>
    </row>
    <row r="2419" spans="1:5" ht="15">
      <c r="A2419" s="223" t="s">
        <v>479</v>
      </c>
      <c r="B2419" s="223">
        <v>24</v>
      </c>
      <c r="C2419" s="223">
        <v>27</v>
      </c>
      <c r="D2419" s="223">
        <v>4</v>
      </c>
      <c r="E2419" s="223">
        <v>103376</v>
      </c>
    </row>
    <row r="2420" spans="1:5" ht="15">
      <c r="A2420" s="223" t="s">
        <v>481</v>
      </c>
      <c r="B2420" s="223">
        <v>21</v>
      </c>
      <c r="C2420" s="223">
        <v>21</v>
      </c>
      <c r="D2420" s="223">
        <v>2</v>
      </c>
      <c r="E2420" s="223">
        <v>117435</v>
      </c>
    </row>
    <row r="2421" spans="1:5" ht="15">
      <c r="A2421" s="223" t="s">
        <v>481</v>
      </c>
      <c r="B2421" s="223">
        <v>21</v>
      </c>
      <c r="C2421" s="223">
        <v>21</v>
      </c>
      <c r="D2421" s="223">
        <v>3</v>
      </c>
      <c r="E2421" s="223">
        <v>44688</v>
      </c>
    </row>
    <row r="2422" spans="1:5" ht="15">
      <c r="A2422" s="223" t="s">
        <v>481</v>
      </c>
      <c r="B2422" s="223">
        <v>21</v>
      </c>
      <c r="C2422" s="223">
        <v>21</v>
      </c>
      <c r="D2422" s="223">
        <v>4</v>
      </c>
      <c r="E2422" s="223">
        <v>58112</v>
      </c>
    </row>
    <row r="2423" spans="1:5" ht="15">
      <c r="A2423" s="223" t="s">
        <v>481</v>
      </c>
      <c r="B2423" s="223">
        <v>21</v>
      </c>
      <c r="C2423" s="223">
        <v>21</v>
      </c>
      <c r="D2423" s="223">
        <v>5</v>
      </c>
      <c r="E2423" s="223">
        <v>750</v>
      </c>
    </row>
    <row r="2424" spans="1:5" ht="15">
      <c r="A2424" s="223" t="s">
        <v>481</v>
      </c>
      <c r="B2424" s="223">
        <v>21</v>
      </c>
      <c r="C2424" s="223">
        <v>21</v>
      </c>
      <c r="D2424" s="223">
        <v>7</v>
      </c>
      <c r="E2424" s="223">
        <v>400</v>
      </c>
    </row>
    <row r="2425" spans="1:5" ht="15">
      <c r="A2425" s="223" t="s">
        <v>481</v>
      </c>
      <c r="B2425" s="223">
        <v>21</v>
      </c>
      <c r="C2425" s="223">
        <v>25</v>
      </c>
      <c r="D2425" s="223">
        <v>3</v>
      </c>
      <c r="E2425" s="223">
        <v>6081</v>
      </c>
    </row>
    <row r="2426" spans="1:5" ht="15">
      <c r="A2426" s="223" t="s">
        <v>481</v>
      </c>
      <c r="B2426" s="223">
        <v>21</v>
      </c>
      <c r="C2426" s="223">
        <v>25</v>
      </c>
      <c r="D2426" s="223">
        <v>4</v>
      </c>
      <c r="E2426" s="223">
        <v>3972</v>
      </c>
    </row>
    <row r="2427" spans="1:5" ht="15">
      <c r="A2427" s="223" t="s">
        <v>481</v>
      </c>
      <c r="B2427" s="223">
        <v>21</v>
      </c>
      <c r="C2427" s="223">
        <v>26</v>
      </c>
      <c r="D2427" s="223">
        <v>2</v>
      </c>
      <c r="E2427" s="223">
        <v>130824</v>
      </c>
    </row>
    <row r="2428" spans="1:5" ht="15">
      <c r="A2428" s="223" t="s">
        <v>481</v>
      </c>
      <c r="B2428" s="223">
        <v>21</v>
      </c>
      <c r="C2428" s="223">
        <v>26</v>
      </c>
      <c r="D2428" s="223">
        <v>3</v>
      </c>
      <c r="E2428" s="223">
        <v>24649</v>
      </c>
    </row>
    <row r="2429" spans="1:5" ht="15">
      <c r="A2429" s="223" t="s">
        <v>481</v>
      </c>
      <c r="B2429" s="223">
        <v>21</v>
      </c>
      <c r="C2429" s="223">
        <v>26</v>
      </c>
      <c r="D2429" s="223">
        <v>4</v>
      </c>
      <c r="E2429" s="223">
        <v>85526</v>
      </c>
    </row>
    <row r="2430" spans="1:5" ht="15">
      <c r="A2430" s="223" t="s">
        <v>481</v>
      </c>
      <c r="B2430" s="223">
        <v>21</v>
      </c>
      <c r="C2430" s="223">
        <v>26</v>
      </c>
      <c r="D2430" s="223">
        <v>5</v>
      </c>
      <c r="E2430" s="223">
        <v>3800</v>
      </c>
    </row>
    <row r="2431" spans="1:5" ht="15">
      <c r="A2431" s="223" t="s">
        <v>481</v>
      </c>
      <c r="B2431" s="223">
        <v>21</v>
      </c>
      <c r="C2431" s="223">
        <v>26</v>
      </c>
      <c r="D2431" s="223">
        <v>7</v>
      </c>
      <c r="E2431" s="223">
        <v>470000</v>
      </c>
    </row>
    <row r="2432" spans="1:5" ht="15">
      <c r="A2432" s="223" t="s">
        <v>481</v>
      </c>
      <c r="B2432" s="223">
        <v>21</v>
      </c>
      <c r="C2432" s="223">
        <v>27</v>
      </c>
      <c r="D2432" s="223">
        <v>2</v>
      </c>
      <c r="E2432" s="223">
        <v>677082</v>
      </c>
    </row>
    <row r="2433" spans="1:5" ht="15">
      <c r="A2433" s="223" t="s">
        <v>481</v>
      </c>
      <c r="B2433" s="223">
        <v>21</v>
      </c>
      <c r="C2433" s="223">
        <v>27</v>
      </c>
      <c r="D2433" s="223">
        <v>3</v>
      </c>
      <c r="E2433" s="223">
        <v>156263</v>
      </c>
    </row>
    <row r="2434" spans="1:5" ht="15">
      <c r="A2434" s="223" t="s">
        <v>481</v>
      </c>
      <c r="B2434" s="223">
        <v>21</v>
      </c>
      <c r="C2434" s="223">
        <v>27</v>
      </c>
      <c r="D2434" s="223">
        <v>4</v>
      </c>
      <c r="E2434" s="223">
        <v>370141</v>
      </c>
    </row>
    <row r="2435" spans="1:5" ht="15">
      <c r="A2435" s="223" t="s">
        <v>481</v>
      </c>
      <c r="B2435" s="223">
        <v>21</v>
      </c>
      <c r="C2435" s="223">
        <v>27</v>
      </c>
      <c r="D2435" s="223">
        <v>5</v>
      </c>
      <c r="E2435" s="223">
        <v>9750</v>
      </c>
    </row>
    <row r="2436" spans="1:5" ht="15">
      <c r="A2436" s="223" t="s">
        <v>481</v>
      </c>
      <c r="B2436" s="223">
        <v>21</v>
      </c>
      <c r="C2436" s="223">
        <v>27</v>
      </c>
      <c r="D2436" s="223">
        <v>7</v>
      </c>
      <c r="E2436" s="223">
        <v>78250</v>
      </c>
    </row>
    <row r="2437" spans="1:5" ht="15">
      <c r="A2437" s="223" t="s">
        <v>481</v>
      </c>
      <c r="B2437" s="223">
        <v>21</v>
      </c>
      <c r="C2437" s="223">
        <v>27</v>
      </c>
      <c r="D2437" s="223">
        <v>8</v>
      </c>
      <c r="E2437" s="223">
        <v>2750</v>
      </c>
    </row>
    <row r="2438" spans="1:5" ht="15">
      <c r="A2438" s="223" t="s">
        <v>481</v>
      </c>
      <c r="B2438" s="223">
        <v>21</v>
      </c>
      <c r="C2438" s="223">
        <v>31</v>
      </c>
      <c r="D2438" s="223">
        <v>2</v>
      </c>
      <c r="E2438" s="223">
        <v>9025</v>
      </c>
    </row>
    <row r="2439" spans="1:5" ht="15">
      <c r="A2439" s="223" t="s">
        <v>481</v>
      </c>
      <c r="B2439" s="223">
        <v>21</v>
      </c>
      <c r="C2439" s="223">
        <v>31</v>
      </c>
      <c r="D2439" s="223">
        <v>4</v>
      </c>
      <c r="E2439" s="223">
        <v>2313</v>
      </c>
    </row>
    <row r="2440" spans="1:5" ht="15">
      <c r="A2440" s="223" t="s">
        <v>481</v>
      </c>
      <c r="B2440" s="223">
        <v>21</v>
      </c>
      <c r="C2440" s="223">
        <v>31</v>
      </c>
      <c r="D2440" s="223">
        <v>7</v>
      </c>
      <c r="E2440" s="223">
        <v>8300</v>
      </c>
    </row>
    <row r="2441" spans="1:5" ht="15">
      <c r="A2441" s="223" t="s">
        <v>481</v>
      </c>
      <c r="B2441" s="223">
        <v>21</v>
      </c>
      <c r="C2441" s="223">
        <v>31</v>
      </c>
      <c r="D2441" s="223">
        <v>8</v>
      </c>
      <c r="E2441" s="223">
        <v>2000</v>
      </c>
    </row>
    <row r="2442" spans="1:5" ht="15">
      <c r="A2442" s="223" t="s">
        <v>481</v>
      </c>
      <c r="B2442" s="223">
        <v>21</v>
      </c>
      <c r="C2442" s="223">
        <v>33</v>
      </c>
      <c r="D2442" s="223">
        <v>5</v>
      </c>
      <c r="E2442" s="223">
        <v>500</v>
      </c>
    </row>
    <row r="2443" spans="1:5" ht="15">
      <c r="A2443" s="223" t="s">
        <v>481</v>
      </c>
      <c r="B2443" s="223">
        <v>21</v>
      </c>
      <c r="C2443" s="223">
        <v>34</v>
      </c>
      <c r="D2443" s="223">
        <v>2</v>
      </c>
      <c r="E2443" s="223">
        <v>13787</v>
      </c>
    </row>
    <row r="2444" spans="1:5" ht="15">
      <c r="A2444" s="223" t="s">
        <v>481</v>
      </c>
      <c r="B2444" s="223">
        <v>21</v>
      </c>
      <c r="C2444" s="223">
        <v>34</v>
      </c>
      <c r="D2444" s="223">
        <v>4</v>
      </c>
      <c r="E2444" s="223">
        <v>3528</v>
      </c>
    </row>
    <row r="2445" spans="1:5" ht="15">
      <c r="A2445" s="223" t="s">
        <v>481</v>
      </c>
      <c r="B2445" s="223">
        <v>24</v>
      </c>
      <c r="C2445" s="223">
        <v>26</v>
      </c>
      <c r="D2445" s="223">
        <v>3</v>
      </c>
      <c r="E2445" s="223">
        <v>91382</v>
      </c>
    </row>
    <row r="2446" spans="1:5" ht="15">
      <c r="A2446" s="223" t="s">
        <v>481</v>
      </c>
      <c r="B2446" s="223">
        <v>24</v>
      </c>
      <c r="C2446" s="223">
        <v>26</v>
      </c>
      <c r="D2446" s="223">
        <v>4</v>
      </c>
      <c r="E2446" s="223">
        <v>54333</v>
      </c>
    </row>
    <row r="2447" spans="1:5" ht="15">
      <c r="A2447" s="223" t="s">
        <v>481</v>
      </c>
      <c r="B2447" s="223">
        <v>24</v>
      </c>
      <c r="C2447" s="223">
        <v>27</v>
      </c>
      <c r="D2447" s="223">
        <v>3</v>
      </c>
      <c r="E2447" s="223">
        <v>88816</v>
      </c>
    </row>
    <row r="2448" spans="1:5" ht="15">
      <c r="A2448" s="223" t="s">
        <v>481</v>
      </c>
      <c r="B2448" s="223">
        <v>24</v>
      </c>
      <c r="C2448" s="223">
        <v>27</v>
      </c>
      <c r="D2448" s="223">
        <v>4</v>
      </c>
      <c r="E2448" s="223">
        <v>30340</v>
      </c>
    </row>
    <row r="2449" spans="1:5" ht="15">
      <c r="A2449" s="223" t="s">
        <v>481</v>
      </c>
      <c r="B2449" s="223">
        <v>24</v>
      </c>
      <c r="C2449" s="223">
        <v>27</v>
      </c>
      <c r="D2449" s="223">
        <v>5</v>
      </c>
      <c r="E2449" s="223">
        <v>6000</v>
      </c>
    </row>
    <row r="2450" spans="1:5" ht="15">
      <c r="A2450" s="223" t="s">
        <v>481</v>
      </c>
      <c r="B2450" s="223">
        <v>24</v>
      </c>
      <c r="C2450" s="223">
        <v>31</v>
      </c>
      <c r="D2450" s="223">
        <v>2</v>
      </c>
      <c r="E2450" s="223">
        <v>733</v>
      </c>
    </row>
    <row r="2451" spans="1:5" ht="15">
      <c r="A2451" s="223" t="s">
        <v>481</v>
      </c>
      <c r="B2451" s="223">
        <v>24</v>
      </c>
      <c r="C2451" s="223">
        <v>31</v>
      </c>
      <c r="D2451" s="223">
        <v>4</v>
      </c>
      <c r="E2451" s="223">
        <v>174</v>
      </c>
    </row>
    <row r="2452" spans="1:5" ht="15">
      <c r="A2452" s="223" t="s">
        <v>482</v>
      </c>
      <c r="B2452" s="223">
        <v>21</v>
      </c>
      <c r="C2452" s="223">
        <v>26</v>
      </c>
      <c r="D2452" s="223">
        <v>3</v>
      </c>
      <c r="E2452" s="223">
        <v>35048</v>
      </c>
    </row>
    <row r="2453" spans="1:5" ht="15">
      <c r="A2453" s="223" t="s">
        <v>482</v>
      </c>
      <c r="B2453" s="223">
        <v>21</v>
      </c>
      <c r="C2453" s="223">
        <v>26</v>
      </c>
      <c r="D2453" s="223">
        <v>4</v>
      </c>
      <c r="E2453" s="223">
        <v>19622</v>
      </c>
    </row>
    <row r="2454" spans="1:5" ht="15">
      <c r="A2454" s="223" t="s">
        <v>482</v>
      </c>
      <c r="B2454" s="223">
        <v>21</v>
      </c>
      <c r="C2454" s="223">
        <v>26</v>
      </c>
      <c r="D2454" s="223">
        <v>5</v>
      </c>
      <c r="E2454" s="223">
        <v>1000</v>
      </c>
    </row>
    <row r="2455" spans="1:5" ht="15">
      <c r="A2455" s="223" t="s">
        <v>482</v>
      </c>
      <c r="B2455" s="223">
        <v>21</v>
      </c>
      <c r="C2455" s="223">
        <v>26</v>
      </c>
      <c r="D2455" s="223">
        <v>7</v>
      </c>
      <c r="E2455" s="223">
        <v>180000</v>
      </c>
    </row>
    <row r="2456" spans="1:5" ht="15">
      <c r="A2456" s="223" t="s">
        <v>482</v>
      </c>
      <c r="B2456" s="223">
        <v>21</v>
      </c>
      <c r="C2456" s="223">
        <v>27</v>
      </c>
      <c r="D2456" s="223">
        <v>2</v>
      </c>
      <c r="E2456" s="223">
        <v>287975</v>
      </c>
    </row>
    <row r="2457" spans="1:5" ht="15">
      <c r="A2457" s="223" t="s">
        <v>482</v>
      </c>
      <c r="B2457" s="223">
        <v>21</v>
      </c>
      <c r="C2457" s="223">
        <v>27</v>
      </c>
      <c r="D2457" s="223">
        <v>3</v>
      </c>
      <c r="E2457" s="223">
        <v>92880</v>
      </c>
    </row>
    <row r="2458" spans="1:5" ht="15">
      <c r="A2458" s="223" t="s">
        <v>482</v>
      </c>
      <c r="B2458" s="223">
        <v>21</v>
      </c>
      <c r="C2458" s="223">
        <v>27</v>
      </c>
      <c r="D2458" s="223">
        <v>4</v>
      </c>
      <c r="E2458" s="223">
        <v>200731</v>
      </c>
    </row>
    <row r="2459" spans="1:5" ht="15">
      <c r="A2459" s="223" t="s">
        <v>482</v>
      </c>
      <c r="B2459" s="223">
        <v>21</v>
      </c>
      <c r="C2459" s="223">
        <v>27</v>
      </c>
      <c r="D2459" s="223">
        <v>5</v>
      </c>
      <c r="E2459" s="223">
        <v>10000</v>
      </c>
    </row>
    <row r="2460" spans="1:5" ht="15">
      <c r="A2460" s="223" t="s">
        <v>482</v>
      </c>
      <c r="B2460" s="223">
        <v>21</v>
      </c>
      <c r="C2460" s="223">
        <v>27</v>
      </c>
      <c r="D2460" s="223">
        <v>7</v>
      </c>
      <c r="E2460" s="223">
        <v>15000</v>
      </c>
    </row>
    <row r="2461" spans="1:5" ht="15">
      <c r="A2461" s="223" t="s">
        <v>482</v>
      </c>
      <c r="B2461" s="223">
        <v>21</v>
      </c>
      <c r="C2461" s="223">
        <v>27</v>
      </c>
      <c r="D2461" s="223">
        <v>8</v>
      </c>
      <c r="E2461" s="223">
        <v>1000</v>
      </c>
    </row>
    <row r="2462" spans="1:5" ht="15">
      <c r="A2462" s="223" t="s">
        <v>482</v>
      </c>
      <c r="B2462" s="223">
        <v>21</v>
      </c>
      <c r="C2462" s="223">
        <v>31</v>
      </c>
      <c r="D2462" s="223">
        <v>7</v>
      </c>
      <c r="E2462" s="223">
        <v>2000</v>
      </c>
    </row>
    <row r="2463" spans="1:5" ht="15">
      <c r="A2463" s="223" t="s">
        <v>482</v>
      </c>
      <c r="B2463" s="223">
        <v>21</v>
      </c>
      <c r="C2463" s="223">
        <v>31</v>
      </c>
      <c r="D2463" s="223">
        <v>8</v>
      </c>
      <c r="E2463" s="223">
        <v>1000</v>
      </c>
    </row>
    <row r="2464" spans="1:5" ht="15">
      <c r="A2464" s="223" t="s">
        <v>482</v>
      </c>
      <c r="B2464" s="223">
        <v>21</v>
      </c>
      <c r="C2464" s="223">
        <v>34</v>
      </c>
      <c r="D2464" s="223">
        <v>2</v>
      </c>
      <c r="E2464" s="223">
        <v>4103</v>
      </c>
    </row>
    <row r="2465" spans="1:5" ht="15">
      <c r="A2465" s="223" t="s">
        <v>482</v>
      </c>
      <c r="B2465" s="223">
        <v>21</v>
      </c>
      <c r="C2465" s="223">
        <v>34</v>
      </c>
      <c r="D2465" s="223">
        <v>4</v>
      </c>
      <c r="E2465" s="223">
        <v>911</v>
      </c>
    </row>
    <row r="2466" spans="1:5" ht="15">
      <c r="A2466" s="223" t="s">
        <v>482</v>
      </c>
      <c r="B2466" s="223">
        <v>24</v>
      </c>
      <c r="C2466" s="223">
        <v>27</v>
      </c>
      <c r="D2466" s="223">
        <v>3</v>
      </c>
      <c r="E2466" s="223">
        <v>87820</v>
      </c>
    </row>
    <row r="2467" spans="1:5" ht="15">
      <c r="A2467" s="223" t="s">
        <v>482</v>
      </c>
      <c r="B2467" s="223">
        <v>24</v>
      </c>
      <c r="C2467" s="223">
        <v>27</v>
      </c>
      <c r="D2467" s="223">
        <v>4</v>
      </c>
      <c r="E2467" s="223">
        <v>73247</v>
      </c>
    </row>
    <row r="2468" spans="1:5" ht="15">
      <c r="A2468" s="223" t="s">
        <v>482</v>
      </c>
      <c r="B2468" s="223">
        <v>24</v>
      </c>
      <c r="C2468" s="223">
        <v>27</v>
      </c>
      <c r="D2468" s="223">
        <v>5</v>
      </c>
      <c r="E2468" s="223">
        <v>9450</v>
      </c>
    </row>
    <row r="2469" spans="1:5" ht="15">
      <c r="A2469" s="223" t="s">
        <v>293</v>
      </c>
      <c r="B2469" s="223">
        <v>21</v>
      </c>
      <c r="C2469" s="223">
        <v>29</v>
      </c>
      <c r="D2469" s="223">
        <v>7</v>
      </c>
      <c r="E2469" s="223">
        <v>144441</v>
      </c>
    </row>
    <row r="2470" spans="1:5" ht="15">
      <c r="A2470" s="223" t="s">
        <v>121</v>
      </c>
      <c r="B2470" s="223">
        <v>21</v>
      </c>
      <c r="C2470" s="223">
        <v>21</v>
      </c>
      <c r="D2470" s="223">
        <v>2</v>
      </c>
      <c r="E2470" s="223">
        <v>89700</v>
      </c>
    </row>
    <row r="2471" spans="1:5" ht="15">
      <c r="A2471" s="223" t="s">
        <v>121</v>
      </c>
      <c r="B2471" s="223">
        <v>21</v>
      </c>
      <c r="C2471" s="223">
        <v>21</v>
      </c>
      <c r="D2471" s="223">
        <v>4</v>
      </c>
      <c r="E2471" s="223">
        <v>33043</v>
      </c>
    </row>
    <row r="2472" spans="1:5" ht="15">
      <c r="A2472" s="223" t="s">
        <v>121</v>
      </c>
      <c r="B2472" s="223">
        <v>21</v>
      </c>
      <c r="C2472" s="223">
        <v>23</v>
      </c>
      <c r="D2472" s="223">
        <v>3</v>
      </c>
      <c r="E2472" s="223">
        <v>36076</v>
      </c>
    </row>
    <row r="2473" spans="1:5" ht="15">
      <c r="A2473" s="223" t="s">
        <v>121</v>
      </c>
      <c r="B2473" s="223">
        <v>21</v>
      </c>
      <c r="C2473" s="223">
        <v>23</v>
      </c>
      <c r="D2473" s="223">
        <v>4</v>
      </c>
      <c r="E2473" s="223">
        <v>20041</v>
      </c>
    </row>
    <row r="2474" spans="1:5" ht="15">
      <c r="A2474" s="223" t="s">
        <v>121</v>
      </c>
      <c r="B2474" s="223">
        <v>21</v>
      </c>
      <c r="C2474" s="223">
        <v>26</v>
      </c>
      <c r="D2474" s="223">
        <v>2</v>
      </c>
      <c r="E2474" s="223">
        <v>155061</v>
      </c>
    </row>
    <row r="2475" spans="1:5" ht="15">
      <c r="A2475" s="223" t="s">
        <v>121</v>
      </c>
      <c r="B2475" s="223">
        <v>21</v>
      </c>
      <c r="C2475" s="223">
        <v>26</v>
      </c>
      <c r="D2475" s="223">
        <v>4</v>
      </c>
      <c r="E2475" s="223">
        <v>59962</v>
      </c>
    </row>
    <row r="2476" spans="1:5" ht="15">
      <c r="A2476" s="223" t="s">
        <v>121</v>
      </c>
      <c r="B2476" s="223">
        <v>21</v>
      </c>
      <c r="C2476" s="223">
        <v>27</v>
      </c>
      <c r="D2476" s="223">
        <v>2</v>
      </c>
      <c r="E2476" s="223">
        <v>928256</v>
      </c>
    </row>
    <row r="2477" spans="1:5" ht="15">
      <c r="A2477" s="223" t="s">
        <v>121</v>
      </c>
      <c r="B2477" s="223">
        <v>21</v>
      </c>
      <c r="C2477" s="223">
        <v>27</v>
      </c>
      <c r="D2477" s="223">
        <v>3</v>
      </c>
      <c r="E2477" s="223">
        <v>511056</v>
      </c>
    </row>
    <row r="2478" spans="1:5" ht="15">
      <c r="A2478" s="223" t="s">
        <v>121</v>
      </c>
      <c r="B2478" s="223">
        <v>21</v>
      </c>
      <c r="C2478" s="223">
        <v>27</v>
      </c>
      <c r="D2478" s="223">
        <v>4</v>
      </c>
      <c r="E2478" s="223">
        <v>696757</v>
      </c>
    </row>
    <row r="2479" spans="1:5" ht="15">
      <c r="A2479" s="223" t="s">
        <v>121</v>
      </c>
      <c r="B2479" s="223">
        <v>21</v>
      </c>
      <c r="C2479" s="223">
        <v>27</v>
      </c>
      <c r="D2479" s="223">
        <v>5</v>
      </c>
      <c r="E2479" s="223">
        <v>10750</v>
      </c>
    </row>
    <row r="2480" spans="1:5" ht="15">
      <c r="A2480" s="223" t="s">
        <v>121</v>
      </c>
      <c r="B2480" s="223">
        <v>21</v>
      </c>
      <c r="C2480" s="223">
        <v>27</v>
      </c>
      <c r="D2480" s="223">
        <v>7</v>
      </c>
      <c r="E2480" s="223">
        <v>133967</v>
      </c>
    </row>
    <row r="2481" spans="1:5" ht="15">
      <c r="A2481" s="223" t="s">
        <v>121</v>
      </c>
      <c r="B2481" s="223">
        <v>21</v>
      </c>
      <c r="C2481" s="223">
        <v>27</v>
      </c>
      <c r="D2481" s="223">
        <v>8</v>
      </c>
      <c r="E2481" s="223">
        <v>100</v>
      </c>
    </row>
    <row r="2482" spans="1:5" ht="15">
      <c r="A2482" s="223" t="s">
        <v>121</v>
      </c>
      <c r="B2482" s="223">
        <v>21</v>
      </c>
      <c r="C2482" s="223">
        <v>29</v>
      </c>
      <c r="D2482" s="223">
        <v>7</v>
      </c>
      <c r="E2482" s="223">
        <v>200000</v>
      </c>
    </row>
    <row r="2483" spans="1:5" ht="15">
      <c r="A2483" s="223" t="s">
        <v>121</v>
      </c>
      <c r="B2483" s="223">
        <v>21</v>
      </c>
      <c r="C2483" s="223">
        <v>31</v>
      </c>
      <c r="D2483" s="223">
        <v>7</v>
      </c>
      <c r="E2483" s="223">
        <v>2000</v>
      </c>
    </row>
    <row r="2484" spans="1:5" ht="15">
      <c r="A2484" s="223" t="s">
        <v>121</v>
      </c>
      <c r="B2484" s="223">
        <v>24</v>
      </c>
      <c r="C2484" s="223">
        <v>26</v>
      </c>
      <c r="D2484" s="223">
        <v>2</v>
      </c>
      <c r="E2484" s="223">
        <v>167644</v>
      </c>
    </row>
    <row r="2485" spans="1:5" ht="15">
      <c r="A2485" s="223" t="s">
        <v>121</v>
      </c>
      <c r="B2485" s="223">
        <v>24</v>
      </c>
      <c r="C2485" s="223">
        <v>26</v>
      </c>
      <c r="D2485" s="223">
        <v>4</v>
      </c>
      <c r="E2485" s="223">
        <v>63180</v>
      </c>
    </row>
    <row r="2486" spans="1:5" ht="15">
      <c r="A2486" s="223" t="s">
        <v>121</v>
      </c>
      <c r="B2486" s="223">
        <v>24</v>
      </c>
      <c r="C2486" s="223">
        <v>27</v>
      </c>
      <c r="D2486" s="223">
        <v>2</v>
      </c>
      <c r="E2486" s="223">
        <v>4466</v>
      </c>
    </row>
    <row r="2487" spans="1:5" ht="15">
      <c r="A2487" s="223" t="s">
        <v>121</v>
      </c>
      <c r="B2487" s="223">
        <v>24</v>
      </c>
      <c r="C2487" s="223">
        <v>27</v>
      </c>
      <c r="D2487" s="223">
        <v>3</v>
      </c>
      <c r="E2487" s="223">
        <v>15285</v>
      </c>
    </row>
    <row r="2488" spans="1:5" ht="15">
      <c r="A2488" s="223" t="s">
        <v>121</v>
      </c>
      <c r="B2488" s="223">
        <v>24</v>
      </c>
      <c r="C2488" s="223">
        <v>27</v>
      </c>
      <c r="D2488" s="223">
        <v>4</v>
      </c>
      <c r="E2488" s="223">
        <v>15679</v>
      </c>
    </row>
    <row r="2489" spans="1:5" ht="15">
      <c r="A2489" s="223" t="s">
        <v>121</v>
      </c>
      <c r="B2489" s="223">
        <v>24</v>
      </c>
      <c r="C2489" s="223">
        <v>29</v>
      </c>
      <c r="D2489" s="223">
        <v>7</v>
      </c>
      <c r="E2489" s="223">
        <v>33746</v>
      </c>
    </row>
    <row r="2490" spans="1:5" ht="15">
      <c r="A2490" s="223" t="s">
        <v>295</v>
      </c>
      <c r="B2490" s="223">
        <v>21</v>
      </c>
      <c r="C2490" s="223">
        <v>21</v>
      </c>
      <c r="D2490" s="223">
        <v>2</v>
      </c>
      <c r="E2490" s="223">
        <v>66000</v>
      </c>
    </row>
    <row r="2491" spans="1:5" ht="15">
      <c r="A2491" s="223" t="s">
        <v>295</v>
      </c>
      <c r="B2491" s="223">
        <v>21</v>
      </c>
      <c r="C2491" s="223">
        <v>21</v>
      </c>
      <c r="D2491" s="223">
        <v>3</v>
      </c>
      <c r="E2491" s="223">
        <v>18556</v>
      </c>
    </row>
    <row r="2492" spans="1:5" ht="15">
      <c r="A2492" s="223" t="s">
        <v>295</v>
      </c>
      <c r="B2492" s="223">
        <v>21</v>
      </c>
      <c r="C2492" s="223">
        <v>21</v>
      </c>
      <c r="D2492" s="223">
        <v>4</v>
      </c>
      <c r="E2492" s="223">
        <v>32340</v>
      </c>
    </row>
    <row r="2493" spans="1:5" ht="15">
      <c r="A2493" s="223" t="s">
        <v>295</v>
      </c>
      <c r="B2493" s="223">
        <v>21</v>
      </c>
      <c r="C2493" s="223">
        <v>26</v>
      </c>
      <c r="D2493" s="223">
        <v>2</v>
      </c>
      <c r="E2493" s="223">
        <v>201414</v>
      </c>
    </row>
    <row r="2494" spans="1:5" ht="15">
      <c r="A2494" s="223" t="s">
        <v>295</v>
      </c>
      <c r="B2494" s="223">
        <v>21</v>
      </c>
      <c r="C2494" s="223">
        <v>26</v>
      </c>
      <c r="D2494" s="223">
        <v>4</v>
      </c>
      <c r="E2494" s="223">
        <v>70073</v>
      </c>
    </row>
    <row r="2495" spans="1:5" ht="15">
      <c r="A2495" s="223" t="s">
        <v>295</v>
      </c>
      <c r="B2495" s="223">
        <v>21</v>
      </c>
      <c r="C2495" s="223">
        <v>26</v>
      </c>
      <c r="D2495" s="223">
        <v>5</v>
      </c>
      <c r="E2495" s="223">
        <v>17698</v>
      </c>
    </row>
    <row r="2496" spans="1:5" ht="15">
      <c r="A2496" s="223" t="s">
        <v>295</v>
      </c>
      <c r="B2496" s="223">
        <v>21</v>
      </c>
      <c r="C2496" s="223">
        <v>26</v>
      </c>
      <c r="D2496" s="223">
        <v>7</v>
      </c>
      <c r="E2496" s="223">
        <v>40000</v>
      </c>
    </row>
    <row r="2497" spans="1:5" ht="15">
      <c r="A2497" s="223" t="s">
        <v>295</v>
      </c>
      <c r="B2497" s="223">
        <v>21</v>
      </c>
      <c r="C2497" s="223">
        <v>27</v>
      </c>
      <c r="D2497" s="223">
        <v>2</v>
      </c>
      <c r="E2497" s="223">
        <v>227184</v>
      </c>
    </row>
    <row r="2498" spans="1:5" ht="15">
      <c r="A2498" s="223" t="s">
        <v>295</v>
      </c>
      <c r="B2498" s="223">
        <v>21</v>
      </c>
      <c r="C2498" s="223">
        <v>27</v>
      </c>
      <c r="D2498" s="223">
        <v>3</v>
      </c>
      <c r="E2498" s="223">
        <v>159340</v>
      </c>
    </row>
    <row r="2499" spans="1:5" ht="15">
      <c r="A2499" s="223" t="s">
        <v>295</v>
      </c>
      <c r="B2499" s="223">
        <v>21</v>
      </c>
      <c r="C2499" s="223">
        <v>27</v>
      </c>
      <c r="D2499" s="223">
        <v>4</v>
      </c>
      <c r="E2499" s="223">
        <v>251730</v>
      </c>
    </row>
    <row r="2500" spans="1:5" ht="15">
      <c r="A2500" s="223" t="s">
        <v>295</v>
      </c>
      <c r="B2500" s="223">
        <v>21</v>
      </c>
      <c r="C2500" s="223">
        <v>27</v>
      </c>
      <c r="D2500" s="223">
        <v>7</v>
      </c>
      <c r="E2500" s="223">
        <v>102524</v>
      </c>
    </row>
    <row r="2501" spans="1:5" ht="15">
      <c r="A2501" s="223" t="s">
        <v>295</v>
      </c>
      <c r="B2501" s="223">
        <v>21</v>
      </c>
      <c r="C2501" s="223">
        <v>29</v>
      </c>
      <c r="D2501" s="223">
        <v>7</v>
      </c>
      <c r="E2501" s="223">
        <v>50000</v>
      </c>
    </row>
    <row r="2502" spans="1:5" ht="15">
      <c r="A2502" s="223" t="s">
        <v>295</v>
      </c>
      <c r="B2502" s="223">
        <v>21</v>
      </c>
      <c r="C2502" s="223">
        <v>31</v>
      </c>
      <c r="D2502" s="223">
        <v>2</v>
      </c>
      <c r="E2502" s="223">
        <v>10692</v>
      </c>
    </row>
    <row r="2503" spans="1:5" ht="15">
      <c r="A2503" s="223" t="s">
        <v>295</v>
      </c>
      <c r="B2503" s="223">
        <v>21</v>
      </c>
      <c r="C2503" s="223">
        <v>31</v>
      </c>
      <c r="D2503" s="223">
        <v>4</v>
      </c>
      <c r="E2503" s="223">
        <v>2449</v>
      </c>
    </row>
    <row r="2504" spans="1:5" ht="15">
      <c r="A2504" s="223" t="s">
        <v>295</v>
      </c>
      <c r="B2504" s="223">
        <v>24</v>
      </c>
      <c r="C2504" s="223">
        <v>27</v>
      </c>
      <c r="D2504" s="223">
        <v>2</v>
      </c>
      <c r="E2504" s="223">
        <v>81095</v>
      </c>
    </row>
    <row r="2505" spans="1:5" ht="15">
      <c r="A2505" s="223" t="s">
        <v>295</v>
      </c>
      <c r="B2505" s="223">
        <v>24</v>
      </c>
      <c r="C2505" s="223">
        <v>27</v>
      </c>
      <c r="D2505" s="223">
        <v>4</v>
      </c>
      <c r="E2505" s="223">
        <v>30620</v>
      </c>
    </row>
    <row r="2506" spans="1:5" ht="15">
      <c r="A2506" s="223" t="s">
        <v>295</v>
      </c>
      <c r="B2506" s="223">
        <v>24</v>
      </c>
      <c r="C2506" s="223">
        <v>27</v>
      </c>
      <c r="D2506" s="223">
        <v>7</v>
      </c>
      <c r="E2506" s="223">
        <v>15872</v>
      </c>
    </row>
    <row r="2507" spans="1:5" ht="15">
      <c r="A2507" s="223" t="s">
        <v>295</v>
      </c>
      <c r="B2507" s="223">
        <v>24</v>
      </c>
      <c r="C2507" s="223">
        <v>31</v>
      </c>
      <c r="D2507" s="223">
        <v>2</v>
      </c>
      <c r="E2507" s="223">
        <v>2785</v>
      </c>
    </row>
    <row r="2508" spans="1:5" ht="15">
      <c r="A2508" s="223" t="s">
        <v>295</v>
      </c>
      <c r="B2508" s="223">
        <v>24</v>
      </c>
      <c r="C2508" s="223">
        <v>31</v>
      </c>
      <c r="D2508" s="223">
        <v>4</v>
      </c>
      <c r="E2508" s="223">
        <v>628</v>
      </c>
    </row>
    <row r="2509" spans="1:5" ht="15">
      <c r="A2509" s="223" t="s">
        <v>295</v>
      </c>
      <c r="B2509" s="223">
        <v>29</v>
      </c>
      <c r="C2509" s="223">
        <v>27</v>
      </c>
      <c r="D2509" s="223">
        <v>2</v>
      </c>
      <c r="E2509" s="223">
        <v>62438</v>
      </c>
    </row>
    <row r="2510" spans="1:5" ht="15">
      <c r="A2510" s="223" t="s">
        <v>295</v>
      </c>
      <c r="B2510" s="223">
        <v>29</v>
      </c>
      <c r="C2510" s="223">
        <v>27</v>
      </c>
      <c r="D2510" s="223">
        <v>4</v>
      </c>
      <c r="E2510" s="223">
        <v>5562</v>
      </c>
    </row>
    <row r="2511" spans="1:5" ht="15">
      <c r="A2511" s="223" t="s">
        <v>123</v>
      </c>
      <c r="B2511" s="223">
        <v>21</v>
      </c>
      <c r="C2511" s="223">
        <v>27</v>
      </c>
      <c r="D2511" s="223">
        <v>2</v>
      </c>
      <c r="E2511" s="223">
        <v>53420</v>
      </c>
    </row>
    <row r="2512" spans="1:5" ht="15">
      <c r="A2512" s="223" t="s">
        <v>123</v>
      </c>
      <c r="B2512" s="223">
        <v>21</v>
      </c>
      <c r="C2512" s="223">
        <v>27</v>
      </c>
      <c r="D2512" s="223">
        <v>3</v>
      </c>
      <c r="E2512" s="223">
        <v>21527</v>
      </c>
    </row>
    <row r="2513" spans="1:5" ht="15">
      <c r="A2513" s="223" t="s">
        <v>123</v>
      </c>
      <c r="B2513" s="223">
        <v>21</v>
      </c>
      <c r="C2513" s="223">
        <v>27</v>
      </c>
      <c r="D2513" s="223">
        <v>4</v>
      </c>
      <c r="E2513" s="223">
        <v>31618</v>
      </c>
    </row>
    <row r="2514" spans="1:5" ht="15">
      <c r="A2514" s="223" t="s">
        <v>123</v>
      </c>
      <c r="B2514" s="223">
        <v>21</v>
      </c>
      <c r="C2514" s="223">
        <v>27</v>
      </c>
      <c r="D2514" s="223">
        <v>5</v>
      </c>
      <c r="E2514" s="223">
        <v>1340</v>
      </c>
    </row>
    <row r="2515" spans="1:5" ht="15">
      <c r="A2515" s="223" t="s">
        <v>123</v>
      </c>
      <c r="B2515" s="223">
        <v>21</v>
      </c>
      <c r="C2515" s="223">
        <v>27</v>
      </c>
      <c r="D2515" s="223">
        <v>7</v>
      </c>
      <c r="E2515" s="223">
        <v>46680</v>
      </c>
    </row>
    <row r="2516" spans="1:5" ht="15">
      <c r="A2516" s="223" t="s">
        <v>123</v>
      </c>
      <c r="B2516" s="223">
        <v>23</v>
      </c>
      <c r="C2516" s="223">
        <v>27</v>
      </c>
      <c r="D2516" s="223">
        <v>3</v>
      </c>
      <c r="E2516" s="223">
        <v>2345</v>
      </c>
    </row>
    <row r="2517" spans="1:5" ht="15">
      <c r="A2517" s="223" t="s">
        <v>123</v>
      </c>
      <c r="B2517" s="223">
        <v>23</v>
      </c>
      <c r="C2517" s="223">
        <v>27</v>
      </c>
      <c r="D2517" s="223">
        <v>4</v>
      </c>
      <c r="E2517" s="223">
        <v>1731</v>
      </c>
    </row>
    <row r="2518" spans="1:5" ht="15">
      <c r="A2518" s="223" t="s">
        <v>123</v>
      </c>
      <c r="B2518" s="223">
        <v>24</v>
      </c>
      <c r="C2518" s="223">
        <v>27</v>
      </c>
      <c r="D2518" s="223">
        <v>3</v>
      </c>
      <c r="E2518" s="223">
        <v>12898</v>
      </c>
    </row>
    <row r="2519" spans="1:5" ht="15">
      <c r="A2519" s="223" t="s">
        <v>123</v>
      </c>
      <c r="B2519" s="223">
        <v>24</v>
      </c>
      <c r="C2519" s="223">
        <v>27</v>
      </c>
      <c r="D2519" s="223">
        <v>4</v>
      </c>
      <c r="E2519" s="223">
        <v>9520</v>
      </c>
    </row>
    <row r="2520" spans="1:5" ht="15">
      <c r="A2520" s="223" t="s">
        <v>124</v>
      </c>
      <c r="B2520" s="223">
        <v>21</v>
      </c>
      <c r="C2520" s="223">
        <v>21</v>
      </c>
      <c r="D2520" s="223">
        <v>2</v>
      </c>
      <c r="E2520" s="223">
        <v>85750</v>
      </c>
    </row>
    <row r="2521" spans="1:5" ht="15">
      <c r="A2521" s="223" t="s">
        <v>124</v>
      </c>
      <c r="B2521" s="223">
        <v>21</v>
      </c>
      <c r="C2521" s="223">
        <v>21</v>
      </c>
      <c r="D2521" s="223">
        <v>3</v>
      </c>
      <c r="E2521" s="223">
        <v>54326</v>
      </c>
    </row>
    <row r="2522" spans="1:5" ht="15">
      <c r="A2522" s="223" t="s">
        <v>124</v>
      </c>
      <c r="B2522" s="223">
        <v>21</v>
      </c>
      <c r="C2522" s="223">
        <v>21</v>
      </c>
      <c r="D2522" s="223">
        <v>4</v>
      </c>
      <c r="E2522" s="223">
        <v>49634</v>
      </c>
    </row>
    <row r="2523" spans="1:5" ht="15">
      <c r="A2523" s="223" t="s">
        <v>124</v>
      </c>
      <c r="B2523" s="223">
        <v>21</v>
      </c>
      <c r="C2523" s="223">
        <v>21</v>
      </c>
      <c r="D2523" s="223">
        <v>5</v>
      </c>
      <c r="E2523" s="223">
        <v>1035</v>
      </c>
    </row>
    <row r="2524" spans="1:5" ht="15">
      <c r="A2524" s="223" t="s">
        <v>124</v>
      </c>
      <c r="B2524" s="223">
        <v>21</v>
      </c>
      <c r="C2524" s="223">
        <v>21</v>
      </c>
      <c r="D2524" s="223">
        <v>7</v>
      </c>
      <c r="E2524" s="223">
        <v>2875</v>
      </c>
    </row>
    <row r="2525" spans="1:5" ht="15">
      <c r="A2525" s="223" t="s">
        <v>124</v>
      </c>
      <c r="B2525" s="223">
        <v>21</v>
      </c>
      <c r="C2525" s="223">
        <v>21</v>
      </c>
      <c r="D2525" s="223">
        <v>8</v>
      </c>
      <c r="E2525" s="223">
        <v>250</v>
      </c>
    </row>
    <row r="2526" spans="1:5" ht="15">
      <c r="A2526" s="223" t="s">
        <v>124</v>
      </c>
      <c r="B2526" s="223">
        <v>21</v>
      </c>
      <c r="C2526" s="223">
        <v>26</v>
      </c>
      <c r="D2526" s="223">
        <v>2</v>
      </c>
      <c r="E2526" s="223">
        <v>235259</v>
      </c>
    </row>
    <row r="2527" spans="1:5" ht="15">
      <c r="A2527" s="223" t="s">
        <v>124</v>
      </c>
      <c r="B2527" s="223">
        <v>21</v>
      </c>
      <c r="C2527" s="223">
        <v>26</v>
      </c>
      <c r="D2527" s="223">
        <v>3</v>
      </c>
      <c r="E2527" s="223">
        <v>36053</v>
      </c>
    </row>
    <row r="2528" spans="1:5" ht="15">
      <c r="A2528" s="223" t="s">
        <v>124</v>
      </c>
      <c r="B2528" s="223">
        <v>21</v>
      </c>
      <c r="C2528" s="223">
        <v>26</v>
      </c>
      <c r="D2528" s="223">
        <v>4</v>
      </c>
      <c r="E2528" s="223">
        <v>110943</v>
      </c>
    </row>
    <row r="2529" spans="1:5" ht="15">
      <c r="A2529" s="223" t="s">
        <v>124</v>
      </c>
      <c r="B2529" s="223">
        <v>21</v>
      </c>
      <c r="C2529" s="223">
        <v>26</v>
      </c>
      <c r="D2529" s="223">
        <v>5</v>
      </c>
      <c r="E2529" s="223">
        <v>1500</v>
      </c>
    </row>
    <row r="2530" spans="1:5" ht="15">
      <c r="A2530" s="223" t="s">
        <v>124</v>
      </c>
      <c r="B2530" s="223">
        <v>21</v>
      </c>
      <c r="C2530" s="223">
        <v>26</v>
      </c>
      <c r="D2530" s="223">
        <v>7</v>
      </c>
      <c r="E2530" s="223">
        <v>74950</v>
      </c>
    </row>
    <row r="2531" spans="1:5" ht="15">
      <c r="A2531" s="223" t="s">
        <v>124</v>
      </c>
      <c r="B2531" s="223">
        <v>21</v>
      </c>
      <c r="C2531" s="223">
        <v>26</v>
      </c>
      <c r="D2531" s="223">
        <v>8</v>
      </c>
      <c r="E2531" s="223">
        <v>800</v>
      </c>
    </row>
    <row r="2532" spans="1:5" ht="15">
      <c r="A2532" s="223" t="s">
        <v>124</v>
      </c>
      <c r="B2532" s="223">
        <v>21</v>
      </c>
      <c r="C2532" s="223">
        <v>27</v>
      </c>
      <c r="D2532" s="223">
        <v>2</v>
      </c>
      <c r="E2532" s="223">
        <v>545783</v>
      </c>
    </row>
    <row r="2533" spans="1:5" ht="15">
      <c r="A2533" s="223" t="s">
        <v>124</v>
      </c>
      <c r="B2533" s="223">
        <v>21</v>
      </c>
      <c r="C2533" s="223">
        <v>27</v>
      </c>
      <c r="D2533" s="223">
        <v>3</v>
      </c>
      <c r="E2533" s="223">
        <v>277339</v>
      </c>
    </row>
    <row r="2534" spans="1:5" ht="15">
      <c r="A2534" s="223" t="s">
        <v>124</v>
      </c>
      <c r="B2534" s="223">
        <v>21</v>
      </c>
      <c r="C2534" s="223">
        <v>27</v>
      </c>
      <c r="D2534" s="223">
        <v>4</v>
      </c>
      <c r="E2534" s="223">
        <v>378331</v>
      </c>
    </row>
    <row r="2535" spans="1:5" ht="15">
      <c r="A2535" s="223" t="s">
        <v>124</v>
      </c>
      <c r="B2535" s="223">
        <v>21</v>
      </c>
      <c r="C2535" s="223">
        <v>27</v>
      </c>
      <c r="D2535" s="223">
        <v>5</v>
      </c>
      <c r="E2535" s="223">
        <v>9300</v>
      </c>
    </row>
    <row r="2536" spans="1:5" ht="15">
      <c r="A2536" s="223" t="s">
        <v>124</v>
      </c>
      <c r="B2536" s="223">
        <v>21</v>
      </c>
      <c r="C2536" s="223">
        <v>27</v>
      </c>
      <c r="D2536" s="223">
        <v>7</v>
      </c>
      <c r="E2536" s="223">
        <v>13255</v>
      </c>
    </row>
    <row r="2537" spans="1:5" ht="15">
      <c r="A2537" s="223" t="s">
        <v>124</v>
      </c>
      <c r="B2537" s="223">
        <v>21</v>
      </c>
      <c r="C2537" s="223">
        <v>31</v>
      </c>
      <c r="D2537" s="223">
        <v>2</v>
      </c>
      <c r="E2537" s="223">
        <v>8087</v>
      </c>
    </row>
    <row r="2538" spans="1:5" ht="15">
      <c r="A2538" s="223" t="s">
        <v>124</v>
      </c>
      <c r="B2538" s="223">
        <v>21</v>
      </c>
      <c r="C2538" s="223">
        <v>31</v>
      </c>
      <c r="D2538" s="223">
        <v>3</v>
      </c>
      <c r="E2538" s="223">
        <v>1800</v>
      </c>
    </row>
    <row r="2539" spans="1:5" ht="15">
      <c r="A2539" s="223" t="s">
        <v>124</v>
      </c>
      <c r="B2539" s="223">
        <v>21</v>
      </c>
      <c r="C2539" s="223">
        <v>31</v>
      </c>
      <c r="D2539" s="223">
        <v>4</v>
      </c>
      <c r="E2539" s="223">
        <v>3108</v>
      </c>
    </row>
    <row r="2540" spans="1:5" ht="15">
      <c r="A2540" s="223" t="s">
        <v>124</v>
      </c>
      <c r="B2540" s="223">
        <v>21</v>
      </c>
      <c r="C2540" s="223">
        <v>31</v>
      </c>
      <c r="D2540" s="223">
        <v>5</v>
      </c>
      <c r="E2540" s="223">
        <v>2250</v>
      </c>
    </row>
    <row r="2541" spans="1:5" ht="15">
      <c r="A2541" s="223" t="s">
        <v>124</v>
      </c>
      <c r="B2541" s="223">
        <v>21</v>
      </c>
      <c r="C2541" s="223">
        <v>31</v>
      </c>
      <c r="D2541" s="223">
        <v>7</v>
      </c>
      <c r="E2541" s="223">
        <v>550</v>
      </c>
    </row>
    <row r="2542" spans="1:5" ht="15">
      <c r="A2542" s="223" t="s">
        <v>124</v>
      </c>
      <c r="B2542" s="223">
        <v>21</v>
      </c>
      <c r="C2542" s="223">
        <v>31</v>
      </c>
      <c r="D2542" s="223">
        <v>8</v>
      </c>
      <c r="E2542" s="223">
        <v>750</v>
      </c>
    </row>
    <row r="2543" spans="1:5" ht="15">
      <c r="A2543" s="223" t="s">
        <v>124</v>
      </c>
      <c r="B2543" s="223">
        <v>21</v>
      </c>
      <c r="C2543" s="223">
        <v>32</v>
      </c>
      <c r="D2543" s="223">
        <v>9</v>
      </c>
      <c r="E2543" s="223">
        <v>2500</v>
      </c>
    </row>
    <row r="2544" spans="1:5" ht="15">
      <c r="A2544" s="223" t="s">
        <v>124</v>
      </c>
      <c r="B2544" s="223">
        <v>21</v>
      </c>
      <c r="C2544" s="223">
        <v>34</v>
      </c>
      <c r="D2544" s="223">
        <v>2</v>
      </c>
      <c r="E2544" s="223">
        <v>13756</v>
      </c>
    </row>
    <row r="2545" spans="1:5" ht="15">
      <c r="A2545" s="223" t="s">
        <v>124</v>
      </c>
      <c r="B2545" s="223">
        <v>21</v>
      </c>
      <c r="C2545" s="223">
        <v>34</v>
      </c>
      <c r="D2545" s="223">
        <v>4</v>
      </c>
      <c r="E2545" s="223">
        <v>1665</v>
      </c>
    </row>
    <row r="2546" spans="1:5" ht="15">
      <c r="A2546" s="223" t="s">
        <v>124</v>
      </c>
      <c r="B2546" s="223">
        <v>23</v>
      </c>
      <c r="C2546" s="223">
        <v>21</v>
      </c>
      <c r="D2546" s="223">
        <v>5</v>
      </c>
      <c r="E2546" s="223">
        <v>65825</v>
      </c>
    </row>
    <row r="2547" spans="1:5" ht="15">
      <c r="A2547" s="223" t="s">
        <v>124</v>
      </c>
      <c r="B2547" s="223">
        <v>24</v>
      </c>
      <c r="C2547" s="223">
        <v>21</v>
      </c>
      <c r="D2547" s="223">
        <v>5</v>
      </c>
      <c r="E2547" s="223">
        <v>19497</v>
      </c>
    </row>
    <row r="2548" spans="1:5" ht="15">
      <c r="A2548" s="223" t="s">
        <v>124</v>
      </c>
      <c r="B2548" s="223">
        <v>24</v>
      </c>
      <c r="C2548" s="223">
        <v>27</v>
      </c>
      <c r="D2548" s="223">
        <v>3</v>
      </c>
      <c r="E2548" s="223">
        <v>162966</v>
      </c>
    </row>
    <row r="2549" spans="1:5" ht="15">
      <c r="A2549" s="223" t="s">
        <v>124</v>
      </c>
      <c r="B2549" s="223">
        <v>24</v>
      </c>
      <c r="C2549" s="223">
        <v>27</v>
      </c>
      <c r="D2549" s="223">
        <v>4</v>
      </c>
      <c r="E2549" s="223">
        <v>103911</v>
      </c>
    </row>
    <row r="2550" spans="1:5" ht="15">
      <c r="A2550" s="223" t="s">
        <v>245</v>
      </c>
      <c r="B2550" s="223">
        <v>21</v>
      </c>
      <c r="C2550" s="223">
        <v>29</v>
      </c>
      <c r="D2550" s="223">
        <v>7</v>
      </c>
      <c r="E2550" s="223">
        <v>297841</v>
      </c>
    </row>
    <row r="2551" spans="1:5" ht="15">
      <c r="A2551" s="223" t="s">
        <v>245</v>
      </c>
      <c r="B2551" s="223">
        <v>29</v>
      </c>
      <c r="C2551" s="223">
        <v>29</v>
      </c>
      <c r="D2551" s="223">
        <v>7</v>
      </c>
      <c r="E2551" s="223">
        <v>8000</v>
      </c>
    </row>
    <row r="2552" spans="1:5" ht="15">
      <c r="A2552" s="223" t="s">
        <v>126</v>
      </c>
      <c r="B2552" s="223">
        <v>21</v>
      </c>
      <c r="C2552" s="223">
        <v>21</v>
      </c>
      <c r="D2552" s="223">
        <v>2</v>
      </c>
      <c r="E2552" s="223">
        <v>374137</v>
      </c>
    </row>
    <row r="2553" spans="1:5" ht="15">
      <c r="A2553" s="223" t="s">
        <v>126</v>
      </c>
      <c r="B2553" s="223">
        <v>21</v>
      </c>
      <c r="C2553" s="223">
        <v>21</v>
      </c>
      <c r="D2553" s="223">
        <v>3</v>
      </c>
      <c r="E2553" s="223">
        <v>204853</v>
      </c>
    </row>
    <row r="2554" spans="1:5" ht="15">
      <c r="A2554" s="223" t="s">
        <v>126</v>
      </c>
      <c r="B2554" s="223">
        <v>21</v>
      </c>
      <c r="C2554" s="223">
        <v>21</v>
      </c>
      <c r="D2554" s="223">
        <v>4</v>
      </c>
      <c r="E2554" s="223">
        <v>188340</v>
      </c>
    </row>
    <row r="2555" spans="1:5" ht="15">
      <c r="A2555" s="223" t="s">
        <v>126</v>
      </c>
      <c r="B2555" s="223">
        <v>21</v>
      </c>
      <c r="C2555" s="223">
        <v>21</v>
      </c>
      <c r="D2555" s="223">
        <v>5</v>
      </c>
      <c r="E2555" s="223">
        <v>4400</v>
      </c>
    </row>
    <row r="2556" spans="1:5" ht="15">
      <c r="A2556" s="223" t="s">
        <v>126</v>
      </c>
      <c r="B2556" s="223">
        <v>21</v>
      </c>
      <c r="C2556" s="223">
        <v>21</v>
      </c>
      <c r="D2556" s="223">
        <v>7</v>
      </c>
      <c r="E2556" s="223">
        <v>9350</v>
      </c>
    </row>
    <row r="2557" spans="1:5" ht="15">
      <c r="A2557" s="223" t="s">
        <v>126</v>
      </c>
      <c r="B2557" s="223">
        <v>21</v>
      </c>
      <c r="C2557" s="223">
        <v>21</v>
      </c>
      <c r="D2557" s="223">
        <v>8</v>
      </c>
      <c r="E2557" s="223">
        <v>20400</v>
      </c>
    </row>
    <row r="2558" spans="1:5" ht="15">
      <c r="A2558" s="223" t="s">
        <v>126</v>
      </c>
      <c r="B2558" s="223">
        <v>21</v>
      </c>
      <c r="C2558" s="223">
        <v>24</v>
      </c>
      <c r="D2558" s="223">
        <v>3</v>
      </c>
      <c r="E2558" s="223">
        <v>21183</v>
      </c>
    </row>
    <row r="2559" spans="1:5" ht="15">
      <c r="A2559" s="223" t="s">
        <v>126</v>
      </c>
      <c r="B2559" s="223">
        <v>21</v>
      </c>
      <c r="C2559" s="223">
        <v>24</v>
      </c>
      <c r="D2559" s="223">
        <v>4</v>
      </c>
      <c r="E2559" s="223">
        <v>10444</v>
      </c>
    </row>
    <row r="2560" spans="1:5" ht="15">
      <c r="A2560" s="223" t="s">
        <v>126</v>
      </c>
      <c r="B2560" s="223">
        <v>21</v>
      </c>
      <c r="C2560" s="223">
        <v>26</v>
      </c>
      <c r="D2560" s="223">
        <v>2</v>
      </c>
      <c r="E2560" s="223">
        <v>4088089</v>
      </c>
    </row>
    <row r="2561" spans="1:5" ht="15">
      <c r="A2561" s="223" t="s">
        <v>126</v>
      </c>
      <c r="B2561" s="223">
        <v>21</v>
      </c>
      <c r="C2561" s="223">
        <v>26</v>
      </c>
      <c r="D2561" s="223">
        <v>3</v>
      </c>
      <c r="E2561" s="223">
        <v>376558</v>
      </c>
    </row>
    <row r="2562" spans="1:5" ht="15">
      <c r="A2562" s="223" t="s">
        <v>126</v>
      </c>
      <c r="B2562" s="223">
        <v>21</v>
      </c>
      <c r="C2562" s="223">
        <v>26</v>
      </c>
      <c r="D2562" s="223">
        <v>4</v>
      </c>
      <c r="E2562" s="223">
        <v>1547168</v>
      </c>
    </row>
    <row r="2563" spans="1:5" ht="15">
      <c r="A2563" s="223" t="s">
        <v>126</v>
      </c>
      <c r="B2563" s="223">
        <v>21</v>
      </c>
      <c r="C2563" s="223">
        <v>26</v>
      </c>
      <c r="D2563" s="223">
        <v>5</v>
      </c>
      <c r="E2563" s="223">
        <v>5000</v>
      </c>
    </row>
    <row r="2564" spans="1:5" ht="15">
      <c r="A2564" s="223" t="s">
        <v>126</v>
      </c>
      <c r="B2564" s="223">
        <v>21</v>
      </c>
      <c r="C2564" s="223">
        <v>26</v>
      </c>
      <c r="D2564" s="223">
        <v>7</v>
      </c>
      <c r="E2564" s="223">
        <v>1302900</v>
      </c>
    </row>
    <row r="2565" spans="1:5" ht="15">
      <c r="A2565" s="223" t="s">
        <v>126</v>
      </c>
      <c r="B2565" s="223">
        <v>21</v>
      </c>
      <c r="C2565" s="223">
        <v>26</v>
      </c>
      <c r="D2565" s="223">
        <v>8</v>
      </c>
      <c r="E2565" s="223">
        <v>8700</v>
      </c>
    </row>
    <row r="2566" spans="1:5" ht="15">
      <c r="A2566" s="223" t="s">
        <v>126</v>
      </c>
      <c r="B2566" s="223">
        <v>21</v>
      </c>
      <c r="C2566" s="223">
        <v>27</v>
      </c>
      <c r="D2566" s="223">
        <v>2</v>
      </c>
      <c r="E2566" s="223">
        <v>7364472</v>
      </c>
    </row>
    <row r="2567" spans="1:5" ht="15">
      <c r="A2567" s="223" t="s">
        <v>126</v>
      </c>
      <c r="B2567" s="223">
        <v>21</v>
      </c>
      <c r="C2567" s="223">
        <v>27</v>
      </c>
      <c r="D2567" s="223">
        <v>3</v>
      </c>
      <c r="E2567" s="223">
        <v>2644288</v>
      </c>
    </row>
    <row r="2568" spans="1:5" ht="15">
      <c r="A2568" s="223" t="s">
        <v>126</v>
      </c>
      <c r="B2568" s="223">
        <v>21</v>
      </c>
      <c r="C2568" s="223">
        <v>27</v>
      </c>
      <c r="D2568" s="223">
        <v>4</v>
      </c>
      <c r="E2568" s="223">
        <v>4141368</v>
      </c>
    </row>
    <row r="2569" spans="1:5" ht="15">
      <c r="A2569" s="223" t="s">
        <v>126</v>
      </c>
      <c r="B2569" s="223">
        <v>21</v>
      </c>
      <c r="C2569" s="223">
        <v>27</v>
      </c>
      <c r="D2569" s="223">
        <v>5</v>
      </c>
      <c r="E2569" s="223">
        <v>105850</v>
      </c>
    </row>
    <row r="2570" spans="1:5" ht="15">
      <c r="A2570" s="223" t="s">
        <v>126</v>
      </c>
      <c r="B2570" s="223">
        <v>21</v>
      </c>
      <c r="C2570" s="223">
        <v>27</v>
      </c>
      <c r="D2570" s="223">
        <v>7</v>
      </c>
      <c r="E2570" s="223">
        <v>236012</v>
      </c>
    </row>
    <row r="2571" spans="1:5" ht="15">
      <c r="A2571" s="223" t="s">
        <v>126</v>
      </c>
      <c r="B2571" s="223">
        <v>21</v>
      </c>
      <c r="C2571" s="223">
        <v>27</v>
      </c>
      <c r="D2571" s="223">
        <v>8</v>
      </c>
      <c r="E2571" s="223">
        <v>2450</v>
      </c>
    </row>
    <row r="2572" spans="1:5" ht="15">
      <c r="A2572" s="223" t="s">
        <v>126</v>
      </c>
      <c r="B2572" s="223">
        <v>21</v>
      </c>
      <c r="C2572" s="223">
        <v>27</v>
      </c>
      <c r="D2572" s="223">
        <v>9</v>
      </c>
      <c r="E2572" s="223">
        <v>7200</v>
      </c>
    </row>
    <row r="2573" spans="1:5" ht="15">
      <c r="A2573" s="223" t="s">
        <v>126</v>
      </c>
      <c r="B2573" s="223">
        <v>21</v>
      </c>
      <c r="C2573" s="223">
        <v>29</v>
      </c>
      <c r="D2573" s="223">
        <v>7</v>
      </c>
      <c r="E2573" s="223">
        <v>82500</v>
      </c>
    </row>
    <row r="2574" spans="1:5" ht="15">
      <c r="A2574" s="223" t="s">
        <v>126</v>
      </c>
      <c r="B2574" s="223">
        <v>21</v>
      </c>
      <c r="C2574" s="223">
        <v>31</v>
      </c>
      <c r="D2574" s="223">
        <v>2</v>
      </c>
      <c r="E2574" s="223">
        <v>106944</v>
      </c>
    </row>
    <row r="2575" spans="1:5" ht="15">
      <c r="A2575" s="223" t="s">
        <v>126</v>
      </c>
      <c r="B2575" s="223">
        <v>21</v>
      </c>
      <c r="C2575" s="223">
        <v>31</v>
      </c>
      <c r="D2575" s="223">
        <v>4</v>
      </c>
      <c r="E2575" s="223">
        <v>24029</v>
      </c>
    </row>
    <row r="2576" spans="1:5" ht="15">
      <c r="A2576" s="223" t="s">
        <v>126</v>
      </c>
      <c r="B2576" s="223">
        <v>21</v>
      </c>
      <c r="C2576" s="223">
        <v>31</v>
      </c>
      <c r="D2576" s="223">
        <v>5</v>
      </c>
      <c r="E2576" s="223">
        <v>3000</v>
      </c>
    </row>
    <row r="2577" spans="1:5" ht="15">
      <c r="A2577" s="223" t="s">
        <v>126</v>
      </c>
      <c r="B2577" s="223">
        <v>21</v>
      </c>
      <c r="C2577" s="223">
        <v>31</v>
      </c>
      <c r="D2577" s="223">
        <v>7</v>
      </c>
      <c r="E2577" s="223">
        <v>9400</v>
      </c>
    </row>
    <row r="2578" spans="1:5" ht="15">
      <c r="A2578" s="223" t="s">
        <v>126</v>
      </c>
      <c r="B2578" s="223">
        <v>21</v>
      </c>
      <c r="C2578" s="223">
        <v>31</v>
      </c>
      <c r="D2578" s="223">
        <v>8</v>
      </c>
      <c r="E2578" s="223">
        <v>1900</v>
      </c>
    </row>
    <row r="2579" spans="1:5" ht="15">
      <c r="A2579" s="223" t="s">
        <v>126</v>
      </c>
      <c r="B2579" s="223">
        <v>21</v>
      </c>
      <c r="C2579" s="223">
        <v>32</v>
      </c>
      <c r="D2579" s="223">
        <v>5</v>
      </c>
      <c r="E2579" s="223">
        <v>3500</v>
      </c>
    </row>
    <row r="2580" spans="1:5" ht="15">
      <c r="A2580" s="223" t="s">
        <v>126</v>
      </c>
      <c r="B2580" s="223">
        <v>21</v>
      </c>
      <c r="C2580" s="223">
        <v>32</v>
      </c>
      <c r="D2580" s="223">
        <v>7</v>
      </c>
      <c r="E2580" s="223">
        <v>25000</v>
      </c>
    </row>
    <row r="2581" spans="1:5" ht="15">
      <c r="A2581" s="223" t="s">
        <v>126</v>
      </c>
      <c r="B2581" s="223">
        <v>21</v>
      </c>
      <c r="C2581" s="223">
        <v>33</v>
      </c>
      <c r="D2581" s="223">
        <v>5</v>
      </c>
      <c r="E2581" s="223">
        <v>500</v>
      </c>
    </row>
    <row r="2582" spans="1:5" ht="15">
      <c r="A2582" s="223" t="s">
        <v>126</v>
      </c>
      <c r="B2582" s="223">
        <v>21</v>
      </c>
      <c r="C2582" s="223">
        <v>34</v>
      </c>
      <c r="D2582" s="223">
        <v>2</v>
      </c>
      <c r="E2582" s="223">
        <v>160415</v>
      </c>
    </row>
    <row r="2583" spans="1:5" ht="15">
      <c r="A2583" s="223" t="s">
        <v>126</v>
      </c>
      <c r="B2583" s="223">
        <v>21</v>
      </c>
      <c r="C2583" s="223">
        <v>34</v>
      </c>
      <c r="D2583" s="223">
        <v>4</v>
      </c>
      <c r="E2583" s="223">
        <v>36042</v>
      </c>
    </row>
    <row r="2584" spans="1:5" ht="15">
      <c r="A2584" s="223" t="s">
        <v>126</v>
      </c>
      <c r="B2584" s="223">
        <v>24</v>
      </c>
      <c r="C2584" s="223">
        <v>26</v>
      </c>
      <c r="D2584" s="223">
        <v>7</v>
      </c>
      <c r="E2584" s="223">
        <v>500000</v>
      </c>
    </row>
    <row r="2585" spans="1:5" ht="15">
      <c r="A2585" s="223" t="s">
        <v>126</v>
      </c>
      <c r="B2585" s="223">
        <v>24</v>
      </c>
      <c r="C2585" s="223">
        <v>27</v>
      </c>
      <c r="D2585" s="223">
        <v>3</v>
      </c>
      <c r="E2585" s="223">
        <v>960043</v>
      </c>
    </row>
    <row r="2586" spans="1:5" ht="15">
      <c r="A2586" s="223" t="s">
        <v>126</v>
      </c>
      <c r="B2586" s="223">
        <v>24</v>
      </c>
      <c r="C2586" s="223">
        <v>27</v>
      </c>
      <c r="D2586" s="223">
        <v>4</v>
      </c>
      <c r="E2586" s="223">
        <v>611539</v>
      </c>
    </row>
    <row r="2587" spans="1:5" ht="15">
      <c r="A2587" s="223" t="s">
        <v>126</v>
      </c>
      <c r="B2587" s="223">
        <v>24</v>
      </c>
      <c r="C2587" s="223">
        <v>27</v>
      </c>
      <c r="D2587" s="223">
        <v>5</v>
      </c>
      <c r="E2587" s="223">
        <v>76124</v>
      </c>
    </row>
    <row r="2588" spans="1:5" ht="15">
      <c r="A2588" s="223" t="s">
        <v>126</v>
      </c>
      <c r="B2588" s="223">
        <v>24</v>
      </c>
      <c r="C2588" s="223">
        <v>27</v>
      </c>
      <c r="D2588" s="223">
        <v>7</v>
      </c>
      <c r="E2588" s="223">
        <v>1292128</v>
      </c>
    </row>
    <row r="2589" spans="1:5" ht="15">
      <c r="A2589" s="223" t="s">
        <v>128</v>
      </c>
      <c r="B2589" s="223">
        <v>21</v>
      </c>
      <c r="C2589" s="223">
        <v>21</v>
      </c>
      <c r="D2589" s="223">
        <v>0</v>
      </c>
      <c r="E2589" s="223">
        <v>2000</v>
      </c>
    </row>
    <row r="2590" spans="1:5" ht="15">
      <c r="A2590" s="223" t="s">
        <v>128</v>
      </c>
      <c r="B2590" s="223">
        <v>21</v>
      </c>
      <c r="C2590" s="223">
        <v>21</v>
      </c>
      <c r="D2590" s="223">
        <v>2</v>
      </c>
      <c r="E2590" s="223">
        <v>1219705</v>
      </c>
    </row>
    <row r="2591" spans="1:5" ht="15">
      <c r="A2591" s="223" t="s">
        <v>128</v>
      </c>
      <c r="B2591" s="223">
        <v>21</v>
      </c>
      <c r="C2591" s="223">
        <v>21</v>
      </c>
      <c r="D2591" s="223">
        <v>3</v>
      </c>
      <c r="E2591" s="223">
        <v>905132</v>
      </c>
    </row>
    <row r="2592" spans="1:5" ht="15">
      <c r="A2592" s="223" t="s">
        <v>128</v>
      </c>
      <c r="B2592" s="223">
        <v>21</v>
      </c>
      <c r="C2592" s="223">
        <v>21</v>
      </c>
      <c r="D2592" s="223">
        <v>4</v>
      </c>
      <c r="E2592" s="223">
        <v>669861</v>
      </c>
    </row>
    <row r="2593" spans="1:5" ht="15">
      <c r="A2593" s="223" t="s">
        <v>128</v>
      </c>
      <c r="B2593" s="223">
        <v>21</v>
      </c>
      <c r="C2593" s="223">
        <v>21</v>
      </c>
      <c r="D2593" s="223">
        <v>5</v>
      </c>
      <c r="E2593" s="223">
        <v>9500</v>
      </c>
    </row>
    <row r="2594" spans="1:5" ht="15">
      <c r="A2594" s="223" t="s">
        <v>128</v>
      </c>
      <c r="B2594" s="223">
        <v>21</v>
      </c>
      <c r="C2594" s="223">
        <v>21</v>
      </c>
      <c r="D2594" s="223">
        <v>7</v>
      </c>
      <c r="E2594" s="223">
        <v>7978</v>
      </c>
    </row>
    <row r="2595" spans="1:5" ht="15">
      <c r="A2595" s="223" t="s">
        <v>128</v>
      </c>
      <c r="B2595" s="223">
        <v>21</v>
      </c>
      <c r="C2595" s="223">
        <v>21</v>
      </c>
      <c r="D2595" s="223">
        <v>8</v>
      </c>
      <c r="E2595" s="223">
        <v>3200</v>
      </c>
    </row>
    <row r="2596" spans="1:5" ht="15">
      <c r="A2596" s="223" t="s">
        <v>128</v>
      </c>
      <c r="B2596" s="223">
        <v>21</v>
      </c>
      <c r="C2596" s="223">
        <v>23</v>
      </c>
      <c r="D2596" s="223">
        <v>3</v>
      </c>
      <c r="E2596" s="223">
        <v>40288</v>
      </c>
    </row>
    <row r="2597" spans="1:5" ht="15">
      <c r="A2597" s="223" t="s">
        <v>128</v>
      </c>
      <c r="B2597" s="223">
        <v>21</v>
      </c>
      <c r="C2597" s="223">
        <v>23</v>
      </c>
      <c r="D2597" s="223">
        <v>4</v>
      </c>
      <c r="E2597" s="223">
        <v>23627</v>
      </c>
    </row>
    <row r="2598" spans="1:5" ht="15">
      <c r="A2598" s="223" t="s">
        <v>128</v>
      </c>
      <c r="B2598" s="223">
        <v>21</v>
      </c>
      <c r="C2598" s="223">
        <v>24</v>
      </c>
      <c r="D2598" s="223">
        <v>5</v>
      </c>
      <c r="E2598" s="223">
        <v>94512</v>
      </c>
    </row>
    <row r="2599" spans="1:5" ht="15">
      <c r="A2599" s="223" t="s">
        <v>128</v>
      </c>
      <c r="B2599" s="223">
        <v>21</v>
      </c>
      <c r="C2599" s="223">
        <v>26</v>
      </c>
      <c r="D2599" s="223">
        <v>2</v>
      </c>
      <c r="E2599" s="223">
        <v>10276725</v>
      </c>
    </row>
    <row r="2600" spans="1:5" ht="15">
      <c r="A2600" s="223" t="s">
        <v>128</v>
      </c>
      <c r="B2600" s="223">
        <v>21</v>
      </c>
      <c r="C2600" s="223">
        <v>26</v>
      </c>
      <c r="D2600" s="223">
        <v>3</v>
      </c>
      <c r="E2600" s="223">
        <v>485877</v>
      </c>
    </row>
    <row r="2601" spans="1:5" ht="15">
      <c r="A2601" s="223" t="s">
        <v>128</v>
      </c>
      <c r="B2601" s="223">
        <v>21</v>
      </c>
      <c r="C2601" s="223">
        <v>26</v>
      </c>
      <c r="D2601" s="223">
        <v>4</v>
      </c>
      <c r="E2601" s="223">
        <v>3848632</v>
      </c>
    </row>
    <row r="2602" spans="1:5" ht="15">
      <c r="A2602" s="223" t="s">
        <v>128</v>
      </c>
      <c r="B2602" s="223">
        <v>21</v>
      </c>
      <c r="C2602" s="223">
        <v>26</v>
      </c>
      <c r="D2602" s="223">
        <v>5</v>
      </c>
      <c r="E2602" s="223">
        <v>33500</v>
      </c>
    </row>
    <row r="2603" spans="1:5" ht="15">
      <c r="A2603" s="223" t="s">
        <v>128</v>
      </c>
      <c r="B2603" s="223">
        <v>21</v>
      </c>
      <c r="C2603" s="223">
        <v>26</v>
      </c>
      <c r="D2603" s="223">
        <v>7</v>
      </c>
      <c r="E2603" s="223">
        <v>175000</v>
      </c>
    </row>
    <row r="2604" spans="1:5" ht="15">
      <c r="A2604" s="223" t="s">
        <v>128</v>
      </c>
      <c r="B2604" s="223">
        <v>21</v>
      </c>
      <c r="C2604" s="223">
        <v>26</v>
      </c>
      <c r="D2604" s="223">
        <v>8</v>
      </c>
      <c r="E2604" s="223">
        <v>9800</v>
      </c>
    </row>
    <row r="2605" spans="1:5" ht="15">
      <c r="A2605" s="223" t="s">
        <v>128</v>
      </c>
      <c r="B2605" s="223">
        <v>21</v>
      </c>
      <c r="C2605" s="223">
        <v>27</v>
      </c>
      <c r="D2605" s="223">
        <v>0</v>
      </c>
      <c r="E2605" s="223">
        <v>246356</v>
      </c>
    </row>
    <row r="2606" spans="1:5" ht="15">
      <c r="A2606" s="223" t="s">
        <v>128</v>
      </c>
      <c r="B2606" s="223">
        <v>21</v>
      </c>
      <c r="C2606" s="223">
        <v>27</v>
      </c>
      <c r="D2606" s="223">
        <v>2</v>
      </c>
      <c r="E2606" s="223">
        <v>14078727</v>
      </c>
    </row>
    <row r="2607" spans="1:5" ht="15">
      <c r="A2607" s="223" t="s">
        <v>128</v>
      </c>
      <c r="B2607" s="223">
        <v>21</v>
      </c>
      <c r="C2607" s="223">
        <v>27</v>
      </c>
      <c r="D2607" s="223">
        <v>3</v>
      </c>
      <c r="E2607" s="223">
        <v>12883329</v>
      </c>
    </row>
    <row r="2608" spans="1:5" ht="15">
      <c r="A2608" s="223" t="s">
        <v>128</v>
      </c>
      <c r="B2608" s="223">
        <v>21</v>
      </c>
      <c r="C2608" s="223">
        <v>27</v>
      </c>
      <c r="D2608" s="223">
        <v>4</v>
      </c>
      <c r="E2608" s="223">
        <v>13008113</v>
      </c>
    </row>
    <row r="2609" spans="1:5" ht="15">
      <c r="A2609" s="223" t="s">
        <v>128</v>
      </c>
      <c r="B2609" s="223">
        <v>21</v>
      </c>
      <c r="C2609" s="223">
        <v>27</v>
      </c>
      <c r="D2609" s="223">
        <v>5</v>
      </c>
      <c r="E2609" s="223">
        <v>65244</v>
      </c>
    </row>
    <row r="2610" spans="1:5" ht="15">
      <c r="A2610" s="223" t="s">
        <v>128</v>
      </c>
      <c r="B2610" s="223">
        <v>21</v>
      </c>
      <c r="C2610" s="223">
        <v>27</v>
      </c>
      <c r="D2610" s="223">
        <v>7</v>
      </c>
      <c r="E2610" s="223">
        <v>4710993</v>
      </c>
    </row>
    <row r="2611" spans="1:5" ht="15">
      <c r="A2611" s="223" t="s">
        <v>128</v>
      </c>
      <c r="B2611" s="223">
        <v>21</v>
      </c>
      <c r="C2611" s="223">
        <v>27</v>
      </c>
      <c r="D2611" s="223">
        <v>8</v>
      </c>
      <c r="E2611" s="223">
        <v>17300</v>
      </c>
    </row>
    <row r="2612" spans="1:5" ht="15">
      <c r="A2612" s="223" t="s">
        <v>128</v>
      </c>
      <c r="B2612" s="223">
        <v>21</v>
      </c>
      <c r="C2612" s="223">
        <v>29</v>
      </c>
      <c r="D2612" s="223">
        <v>7</v>
      </c>
      <c r="E2612" s="223">
        <v>100000</v>
      </c>
    </row>
    <row r="2613" spans="1:5" ht="15">
      <c r="A2613" s="223" t="s">
        <v>128</v>
      </c>
      <c r="B2613" s="223">
        <v>21</v>
      </c>
      <c r="C2613" s="223">
        <v>31</v>
      </c>
      <c r="D2613" s="223">
        <v>0</v>
      </c>
      <c r="E2613" s="223">
        <v>4900</v>
      </c>
    </row>
    <row r="2614" spans="1:5" ht="15">
      <c r="A2614" s="223" t="s">
        <v>128</v>
      </c>
      <c r="B2614" s="223">
        <v>21</v>
      </c>
      <c r="C2614" s="223">
        <v>31</v>
      </c>
      <c r="D2614" s="223">
        <v>2</v>
      </c>
      <c r="E2614" s="223">
        <v>1464112</v>
      </c>
    </row>
    <row r="2615" spans="1:5" ht="15">
      <c r="A2615" s="223" t="s">
        <v>128</v>
      </c>
      <c r="B2615" s="223">
        <v>21</v>
      </c>
      <c r="C2615" s="223">
        <v>31</v>
      </c>
      <c r="D2615" s="223">
        <v>3</v>
      </c>
      <c r="E2615" s="223">
        <v>79157</v>
      </c>
    </row>
    <row r="2616" spans="1:5" ht="15">
      <c r="A2616" s="223" t="s">
        <v>128</v>
      </c>
      <c r="B2616" s="223">
        <v>21</v>
      </c>
      <c r="C2616" s="223">
        <v>31</v>
      </c>
      <c r="D2616" s="223">
        <v>4</v>
      </c>
      <c r="E2616" s="223">
        <v>455900</v>
      </c>
    </row>
    <row r="2617" spans="1:5" ht="15">
      <c r="A2617" s="223" t="s">
        <v>128</v>
      </c>
      <c r="B2617" s="223">
        <v>21</v>
      </c>
      <c r="C2617" s="223">
        <v>33</v>
      </c>
      <c r="D2617" s="223">
        <v>5</v>
      </c>
      <c r="E2617" s="223">
        <v>90096</v>
      </c>
    </row>
    <row r="2618" spans="1:5" ht="15">
      <c r="A2618" s="223" t="s">
        <v>128</v>
      </c>
      <c r="B2618" s="223">
        <v>24</v>
      </c>
      <c r="C2618" s="223">
        <v>21</v>
      </c>
      <c r="D2618" s="223">
        <v>3</v>
      </c>
      <c r="E2618" s="223">
        <v>73510</v>
      </c>
    </row>
    <row r="2619" spans="1:5" ht="15">
      <c r="A2619" s="223" t="s">
        <v>128</v>
      </c>
      <c r="B2619" s="223">
        <v>24</v>
      </c>
      <c r="C2619" s="223">
        <v>21</v>
      </c>
      <c r="D2619" s="223">
        <v>4</v>
      </c>
      <c r="E2619" s="223">
        <v>26919</v>
      </c>
    </row>
    <row r="2620" spans="1:5" ht="15">
      <c r="A2620" s="223" t="s">
        <v>128</v>
      </c>
      <c r="B2620" s="223">
        <v>24</v>
      </c>
      <c r="C2620" s="223">
        <v>26</v>
      </c>
      <c r="D2620" s="223">
        <v>2</v>
      </c>
      <c r="E2620" s="223">
        <v>123402</v>
      </c>
    </row>
    <row r="2621" spans="1:5" ht="15">
      <c r="A2621" s="223" t="s">
        <v>128</v>
      </c>
      <c r="B2621" s="223">
        <v>24</v>
      </c>
      <c r="C2621" s="223">
        <v>26</v>
      </c>
      <c r="D2621" s="223">
        <v>3</v>
      </c>
      <c r="E2621" s="223">
        <v>317938</v>
      </c>
    </row>
    <row r="2622" spans="1:5" ht="15">
      <c r="A2622" s="223" t="s">
        <v>128</v>
      </c>
      <c r="B2622" s="223">
        <v>24</v>
      </c>
      <c r="C2622" s="223">
        <v>26</v>
      </c>
      <c r="D2622" s="223">
        <v>4</v>
      </c>
      <c r="E2622" s="223">
        <v>168269</v>
      </c>
    </row>
    <row r="2623" spans="1:5" ht="15">
      <c r="A2623" s="223" t="s">
        <v>128</v>
      </c>
      <c r="B2623" s="223">
        <v>24</v>
      </c>
      <c r="C2623" s="223">
        <v>27</v>
      </c>
      <c r="D2623" s="223">
        <v>2</v>
      </c>
      <c r="E2623" s="223">
        <v>2031353</v>
      </c>
    </row>
    <row r="2624" spans="1:5" ht="15">
      <c r="A2624" s="223" t="s">
        <v>128</v>
      </c>
      <c r="B2624" s="223">
        <v>24</v>
      </c>
      <c r="C2624" s="223">
        <v>27</v>
      </c>
      <c r="D2624" s="223">
        <v>3</v>
      </c>
      <c r="E2624" s="223">
        <v>3284</v>
      </c>
    </row>
    <row r="2625" spans="1:5" ht="15">
      <c r="A2625" s="223" t="s">
        <v>128</v>
      </c>
      <c r="B2625" s="223">
        <v>24</v>
      </c>
      <c r="C2625" s="223">
        <v>27</v>
      </c>
      <c r="D2625" s="223">
        <v>4</v>
      </c>
      <c r="E2625" s="223">
        <v>723385</v>
      </c>
    </row>
    <row r="2626" spans="1:5" ht="15">
      <c r="A2626" s="223" t="s">
        <v>128</v>
      </c>
      <c r="B2626" s="223">
        <v>24</v>
      </c>
      <c r="C2626" s="223">
        <v>27</v>
      </c>
      <c r="D2626" s="223">
        <v>5</v>
      </c>
      <c r="E2626" s="223">
        <v>17991</v>
      </c>
    </row>
    <row r="2627" spans="1:5" ht="15">
      <c r="A2627" s="223" t="s">
        <v>128</v>
      </c>
      <c r="B2627" s="223">
        <v>24</v>
      </c>
      <c r="C2627" s="223">
        <v>27</v>
      </c>
      <c r="D2627" s="223">
        <v>7</v>
      </c>
      <c r="E2627" s="223">
        <v>4303574</v>
      </c>
    </row>
    <row r="2628" spans="1:5" ht="15">
      <c r="A2628" s="223" t="s">
        <v>130</v>
      </c>
      <c r="B2628" s="223">
        <v>21</v>
      </c>
      <c r="C2628" s="223">
        <v>21</v>
      </c>
      <c r="D2628" s="223">
        <v>2</v>
      </c>
      <c r="E2628" s="223">
        <v>96491</v>
      </c>
    </row>
    <row r="2629" spans="1:5" ht="15">
      <c r="A2629" s="223" t="s">
        <v>130</v>
      </c>
      <c r="B2629" s="223">
        <v>21</v>
      </c>
      <c r="C2629" s="223">
        <v>21</v>
      </c>
      <c r="D2629" s="223">
        <v>3</v>
      </c>
      <c r="E2629" s="223">
        <v>78604</v>
      </c>
    </row>
    <row r="2630" spans="1:5" ht="15">
      <c r="A2630" s="223" t="s">
        <v>130</v>
      </c>
      <c r="B2630" s="223">
        <v>21</v>
      </c>
      <c r="C2630" s="223">
        <v>21</v>
      </c>
      <c r="D2630" s="223">
        <v>4</v>
      </c>
      <c r="E2630" s="223">
        <v>56348</v>
      </c>
    </row>
    <row r="2631" spans="1:5" ht="15">
      <c r="A2631" s="223" t="s">
        <v>130</v>
      </c>
      <c r="B2631" s="223">
        <v>21</v>
      </c>
      <c r="C2631" s="223">
        <v>21</v>
      </c>
      <c r="D2631" s="223">
        <v>7</v>
      </c>
      <c r="E2631" s="223">
        <v>7864</v>
      </c>
    </row>
    <row r="2632" spans="1:5" ht="15">
      <c r="A2632" s="223" t="s">
        <v>130</v>
      </c>
      <c r="B2632" s="223">
        <v>21</v>
      </c>
      <c r="C2632" s="223">
        <v>26</v>
      </c>
      <c r="D2632" s="223">
        <v>2</v>
      </c>
      <c r="E2632" s="223">
        <v>354383</v>
      </c>
    </row>
    <row r="2633" spans="1:5" ht="15">
      <c r="A2633" s="223" t="s">
        <v>130</v>
      </c>
      <c r="B2633" s="223">
        <v>21</v>
      </c>
      <c r="C2633" s="223">
        <v>26</v>
      </c>
      <c r="D2633" s="223">
        <v>3</v>
      </c>
      <c r="E2633" s="223">
        <v>141407</v>
      </c>
    </row>
    <row r="2634" spans="1:5" ht="15">
      <c r="A2634" s="223" t="s">
        <v>130</v>
      </c>
      <c r="B2634" s="223">
        <v>21</v>
      </c>
      <c r="C2634" s="223">
        <v>26</v>
      </c>
      <c r="D2634" s="223">
        <v>4</v>
      </c>
      <c r="E2634" s="223">
        <v>198162</v>
      </c>
    </row>
    <row r="2635" spans="1:5" ht="15">
      <c r="A2635" s="223" t="s">
        <v>130</v>
      </c>
      <c r="B2635" s="223">
        <v>21</v>
      </c>
      <c r="C2635" s="223">
        <v>26</v>
      </c>
      <c r="D2635" s="223">
        <v>5</v>
      </c>
      <c r="E2635" s="223">
        <v>1000</v>
      </c>
    </row>
    <row r="2636" spans="1:5" ht="15">
      <c r="A2636" s="223" t="s">
        <v>130</v>
      </c>
      <c r="B2636" s="223">
        <v>21</v>
      </c>
      <c r="C2636" s="223">
        <v>26</v>
      </c>
      <c r="D2636" s="223">
        <v>7</v>
      </c>
      <c r="E2636" s="223">
        <v>6500</v>
      </c>
    </row>
    <row r="2637" spans="1:5" ht="15">
      <c r="A2637" s="223" t="s">
        <v>130</v>
      </c>
      <c r="B2637" s="223">
        <v>21</v>
      </c>
      <c r="C2637" s="223">
        <v>27</v>
      </c>
      <c r="D2637" s="223">
        <v>2</v>
      </c>
      <c r="E2637" s="223">
        <v>1631726</v>
      </c>
    </row>
    <row r="2638" spans="1:5" ht="15">
      <c r="A2638" s="223" t="s">
        <v>130</v>
      </c>
      <c r="B2638" s="223">
        <v>21</v>
      </c>
      <c r="C2638" s="223">
        <v>27</v>
      </c>
      <c r="D2638" s="223">
        <v>3</v>
      </c>
      <c r="E2638" s="223">
        <v>937331</v>
      </c>
    </row>
    <row r="2639" spans="1:5" ht="15">
      <c r="A2639" s="223" t="s">
        <v>130</v>
      </c>
      <c r="B2639" s="223">
        <v>21</v>
      </c>
      <c r="C2639" s="223">
        <v>27</v>
      </c>
      <c r="D2639" s="223">
        <v>4</v>
      </c>
      <c r="E2639" s="223">
        <v>1128993</v>
      </c>
    </row>
    <row r="2640" spans="1:5" ht="15">
      <c r="A2640" s="223" t="s">
        <v>130</v>
      </c>
      <c r="B2640" s="223">
        <v>21</v>
      </c>
      <c r="C2640" s="223">
        <v>27</v>
      </c>
      <c r="D2640" s="223">
        <v>5</v>
      </c>
      <c r="E2640" s="223">
        <v>16725</v>
      </c>
    </row>
    <row r="2641" spans="1:5" ht="15">
      <c r="A2641" s="223" t="s">
        <v>130</v>
      </c>
      <c r="B2641" s="223">
        <v>21</v>
      </c>
      <c r="C2641" s="223">
        <v>27</v>
      </c>
      <c r="D2641" s="223">
        <v>7</v>
      </c>
      <c r="E2641" s="223">
        <v>917000</v>
      </c>
    </row>
    <row r="2642" spans="1:5" ht="15">
      <c r="A2642" s="223" t="s">
        <v>130</v>
      </c>
      <c r="B2642" s="223">
        <v>21</v>
      </c>
      <c r="C2642" s="223">
        <v>31</v>
      </c>
      <c r="D2642" s="223">
        <v>2</v>
      </c>
      <c r="E2642" s="223">
        <v>134492</v>
      </c>
    </row>
    <row r="2643" spans="1:5" ht="15">
      <c r="A2643" s="223" t="s">
        <v>130</v>
      </c>
      <c r="B2643" s="223">
        <v>21</v>
      </c>
      <c r="C2643" s="223">
        <v>31</v>
      </c>
      <c r="D2643" s="223">
        <v>4</v>
      </c>
      <c r="E2643" s="223">
        <v>29744</v>
      </c>
    </row>
    <row r="2644" spans="1:5" ht="15">
      <c r="A2644" s="223" t="s">
        <v>130</v>
      </c>
      <c r="B2644" s="223">
        <v>21</v>
      </c>
      <c r="C2644" s="223">
        <v>33</v>
      </c>
      <c r="D2644" s="223">
        <v>5</v>
      </c>
      <c r="E2644" s="223">
        <v>500</v>
      </c>
    </row>
    <row r="2645" spans="1:5" ht="15">
      <c r="A2645" s="223" t="s">
        <v>130</v>
      </c>
      <c r="B2645" s="223">
        <v>21</v>
      </c>
      <c r="C2645" s="223">
        <v>34</v>
      </c>
      <c r="D2645" s="223">
        <v>2</v>
      </c>
      <c r="E2645" s="223">
        <v>24379</v>
      </c>
    </row>
    <row r="2646" spans="1:5" ht="15">
      <c r="A2646" s="223" t="s">
        <v>130</v>
      </c>
      <c r="B2646" s="223">
        <v>21</v>
      </c>
      <c r="C2646" s="223">
        <v>34</v>
      </c>
      <c r="D2646" s="223">
        <v>4</v>
      </c>
      <c r="E2646" s="223">
        <v>9012</v>
      </c>
    </row>
    <row r="2647" spans="1:5" ht="15">
      <c r="A2647" s="223" t="s">
        <v>130</v>
      </c>
      <c r="B2647" s="223">
        <v>24</v>
      </c>
      <c r="C2647" s="223">
        <v>26</v>
      </c>
      <c r="D2647" s="223">
        <v>2</v>
      </c>
      <c r="E2647" s="223">
        <v>283658</v>
      </c>
    </row>
    <row r="2648" spans="1:5" ht="15">
      <c r="A2648" s="223" t="s">
        <v>130</v>
      </c>
      <c r="B2648" s="223">
        <v>24</v>
      </c>
      <c r="C2648" s="223">
        <v>26</v>
      </c>
      <c r="D2648" s="223">
        <v>4</v>
      </c>
      <c r="E2648" s="223">
        <v>102834</v>
      </c>
    </row>
    <row r="2649" spans="1:5" ht="15">
      <c r="A2649" s="223" t="s">
        <v>130</v>
      </c>
      <c r="B2649" s="223">
        <v>24</v>
      </c>
      <c r="C2649" s="223">
        <v>27</v>
      </c>
      <c r="D2649" s="223">
        <v>2</v>
      </c>
      <c r="E2649" s="223">
        <v>11292</v>
      </c>
    </row>
    <row r="2650" spans="1:5" ht="15">
      <c r="A2650" s="223" t="s">
        <v>130</v>
      </c>
      <c r="B2650" s="223">
        <v>24</v>
      </c>
      <c r="C2650" s="223">
        <v>27</v>
      </c>
      <c r="D2650" s="223">
        <v>3</v>
      </c>
      <c r="E2650" s="223">
        <v>170094</v>
      </c>
    </row>
    <row r="2651" spans="1:5" ht="15">
      <c r="A2651" s="223" t="s">
        <v>130</v>
      </c>
      <c r="B2651" s="223">
        <v>24</v>
      </c>
      <c r="C2651" s="223">
        <v>27</v>
      </c>
      <c r="D2651" s="223">
        <v>4</v>
      </c>
      <c r="E2651" s="223">
        <v>100052</v>
      </c>
    </row>
    <row r="2652" spans="1:5" ht="15">
      <c r="A2652" s="223" t="s">
        <v>130</v>
      </c>
      <c r="B2652" s="223">
        <v>24</v>
      </c>
      <c r="C2652" s="223">
        <v>31</v>
      </c>
      <c r="D2652" s="223">
        <v>2</v>
      </c>
      <c r="E2652" s="223">
        <v>20643</v>
      </c>
    </row>
    <row r="2653" spans="1:5" ht="15">
      <c r="A2653" s="223" t="s">
        <v>130</v>
      </c>
      <c r="B2653" s="223">
        <v>24</v>
      </c>
      <c r="C2653" s="223">
        <v>31</v>
      </c>
      <c r="D2653" s="223">
        <v>4</v>
      </c>
      <c r="E2653" s="223">
        <v>4304</v>
      </c>
    </row>
    <row r="2654" spans="1:5" ht="15">
      <c r="A2654" s="223" t="s">
        <v>132</v>
      </c>
      <c r="B2654" s="223">
        <v>21</v>
      </c>
      <c r="C2654" s="223">
        <v>26</v>
      </c>
      <c r="D2654" s="223">
        <v>7</v>
      </c>
      <c r="E2654" s="223">
        <v>10000</v>
      </c>
    </row>
    <row r="2655" spans="1:5" ht="15">
      <c r="A2655" s="223" t="s">
        <v>132</v>
      </c>
      <c r="B2655" s="223">
        <v>21</v>
      </c>
      <c r="C2655" s="223">
        <v>26</v>
      </c>
      <c r="D2655" s="223">
        <v>8</v>
      </c>
      <c r="E2655" s="223">
        <v>500</v>
      </c>
    </row>
    <row r="2656" spans="1:5" ht="15">
      <c r="A2656" s="223" t="s">
        <v>132</v>
      </c>
      <c r="B2656" s="223">
        <v>21</v>
      </c>
      <c r="C2656" s="223">
        <v>27</v>
      </c>
      <c r="D2656" s="223">
        <v>2</v>
      </c>
      <c r="E2656" s="223">
        <v>48734</v>
      </c>
    </row>
    <row r="2657" spans="1:5" ht="15">
      <c r="A2657" s="223" t="s">
        <v>132</v>
      </c>
      <c r="B2657" s="223">
        <v>21</v>
      </c>
      <c r="C2657" s="223">
        <v>27</v>
      </c>
      <c r="D2657" s="223">
        <v>3</v>
      </c>
      <c r="E2657" s="223">
        <v>20530</v>
      </c>
    </row>
    <row r="2658" spans="1:5" ht="15">
      <c r="A2658" s="223" t="s">
        <v>132</v>
      </c>
      <c r="B2658" s="223">
        <v>21</v>
      </c>
      <c r="C2658" s="223">
        <v>27</v>
      </c>
      <c r="D2658" s="223">
        <v>4</v>
      </c>
      <c r="E2658" s="223">
        <v>22897</v>
      </c>
    </row>
    <row r="2659" spans="1:5" ht="15">
      <c r="A2659" s="223" t="s">
        <v>132</v>
      </c>
      <c r="B2659" s="223">
        <v>21</v>
      </c>
      <c r="C2659" s="223">
        <v>27</v>
      </c>
      <c r="D2659" s="223">
        <v>5</v>
      </c>
      <c r="E2659" s="223">
        <v>800</v>
      </c>
    </row>
    <row r="2660" spans="1:5" ht="15">
      <c r="A2660" s="223" t="s">
        <v>132</v>
      </c>
      <c r="B2660" s="223">
        <v>21</v>
      </c>
      <c r="C2660" s="223">
        <v>27</v>
      </c>
      <c r="D2660" s="223">
        <v>8</v>
      </c>
      <c r="E2660" s="223">
        <v>500</v>
      </c>
    </row>
    <row r="2661" spans="1:5" ht="15">
      <c r="A2661" s="223" t="s">
        <v>132</v>
      </c>
      <c r="B2661" s="223">
        <v>23</v>
      </c>
      <c r="C2661" s="223">
        <v>26</v>
      </c>
      <c r="D2661" s="223">
        <v>7</v>
      </c>
      <c r="E2661" s="223">
        <v>1926</v>
      </c>
    </row>
    <row r="2662" spans="1:5" ht="15">
      <c r="A2662" s="223" t="s">
        <v>132</v>
      </c>
      <c r="B2662" s="223">
        <v>24</v>
      </c>
      <c r="C2662" s="223">
        <v>26</v>
      </c>
      <c r="D2662" s="223">
        <v>7</v>
      </c>
      <c r="E2662" s="223">
        <v>6656</v>
      </c>
    </row>
    <row r="2663" spans="1:5" ht="15">
      <c r="A2663" s="223" t="s">
        <v>462</v>
      </c>
      <c r="B2663" s="223">
        <v>21</v>
      </c>
      <c r="C2663" s="223">
        <v>21</v>
      </c>
      <c r="D2663" s="223">
        <v>2</v>
      </c>
      <c r="E2663" s="223">
        <v>70843</v>
      </c>
    </row>
    <row r="2664" spans="1:5" ht="15">
      <c r="A2664" s="223" t="s">
        <v>462</v>
      </c>
      <c r="B2664" s="223">
        <v>21</v>
      </c>
      <c r="C2664" s="223">
        <v>21</v>
      </c>
      <c r="D2664" s="223">
        <v>4</v>
      </c>
      <c r="E2664" s="223">
        <v>26702</v>
      </c>
    </row>
    <row r="2665" spans="1:5" ht="15">
      <c r="A2665" s="223" t="s">
        <v>462</v>
      </c>
      <c r="B2665" s="223">
        <v>21</v>
      </c>
      <c r="C2665" s="223">
        <v>21</v>
      </c>
      <c r="D2665" s="223">
        <v>5</v>
      </c>
      <c r="E2665" s="223">
        <v>100</v>
      </c>
    </row>
    <row r="2666" spans="1:5" ht="15">
      <c r="A2666" s="223" t="s">
        <v>462</v>
      </c>
      <c r="B2666" s="223">
        <v>21</v>
      </c>
      <c r="C2666" s="223">
        <v>26</v>
      </c>
      <c r="D2666" s="223">
        <v>2</v>
      </c>
      <c r="E2666" s="223">
        <v>78025</v>
      </c>
    </row>
    <row r="2667" spans="1:5" ht="15">
      <c r="A2667" s="223" t="s">
        <v>462</v>
      </c>
      <c r="B2667" s="223">
        <v>21</v>
      </c>
      <c r="C2667" s="223">
        <v>26</v>
      </c>
      <c r="D2667" s="223">
        <v>4</v>
      </c>
      <c r="E2667" s="223">
        <v>18237</v>
      </c>
    </row>
    <row r="2668" spans="1:5" ht="15">
      <c r="A2668" s="223" t="s">
        <v>462</v>
      </c>
      <c r="B2668" s="223">
        <v>21</v>
      </c>
      <c r="C2668" s="223">
        <v>26</v>
      </c>
      <c r="D2668" s="223">
        <v>5</v>
      </c>
      <c r="E2668" s="223">
        <v>2000</v>
      </c>
    </row>
    <row r="2669" spans="1:5" ht="15">
      <c r="A2669" s="223" t="s">
        <v>462</v>
      </c>
      <c r="B2669" s="223">
        <v>21</v>
      </c>
      <c r="C2669" s="223">
        <v>26</v>
      </c>
      <c r="D2669" s="223">
        <v>7</v>
      </c>
      <c r="E2669" s="223">
        <v>85000</v>
      </c>
    </row>
    <row r="2670" spans="1:5" ht="15">
      <c r="A2670" s="223" t="s">
        <v>462</v>
      </c>
      <c r="B2670" s="223">
        <v>21</v>
      </c>
      <c r="C2670" s="223">
        <v>27</v>
      </c>
      <c r="D2670" s="223">
        <v>2</v>
      </c>
      <c r="E2670" s="223">
        <v>159131</v>
      </c>
    </row>
    <row r="2671" spans="1:5" ht="15">
      <c r="A2671" s="223" t="s">
        <v>462</v>
      </c>
      <c r="B2671" s="223">
        <v>21</v>
      </c>
      <c r="C2671" s="223">
        <v>27</v>
      </c>
      <c r="D2671" s="223">
        <v>3</v>
      </c>
      <c r="E2671" s="223">
        <v>146783</v>
      </c>
    </row>
    <row r="2672" spans="1:5" ht="15">
      <c r="A2672" s="223" t="s">
        <v>462</v>
      </c>
      <c r="B2672" s="223">
        <v>21</v>
      </c>
      <c r="C2672" s="223">
        <v>27</v>
      </c>
      <c r="D2672" s="223">
        <v>4</v>
      </c>
      <c r="E2672" s="223">
        <v>161329</v>
      </c>
    </row>
    <row r="2673" spans="1:5" ht="15">
      <c r="A2673" s="223" t="s">
        <v>462</v>
      </c>
      <c r="B2673" s="223">
        <v>21</v>
      </c>
      <c r="C2673" s="223">
        <v>27</v>
      </c>
      <c r="D2673" s="223">
        <v>5</v>
      </c>
      <c r="E2673" s="223">
        <v>4000</v>
      </c>
    </row>
    <row r="2674" spans="1:5" ht="15">
      <c r="A2674" s="223" t="s">
        <v>462</v>
      </c>
      <c r="B2674" s="223">
        <v>21</v>
      </c>
      <c r="C2674" s="223">
        <v>27</v>
      </c>
      <c r="D2674" s="223">
        <v>7</v>
      </c>
      <c r="E2674" s="223">
        <v>8000</v>
      </c>
    </row>
    <row r="2675" spans="1:5" ht="15">
      <c r="A2675" s="223" t="s">
        <v>462</v>
      </c>
      <c r="B2675" s="223">
        <v>21</v>
      </c>
      <c r="C2675" s="223">
        <v>31</v>
      </c>
      <c r="D2675" s="223">
        <v>2</v>
      </c>
      <c r="E2675" s="223">
        <v>1900</v>
      </c>
    </row>
    <row r="2676" spans="1:5" ht="15">
      <c r="A2676" s="223" t="s">
        <v>462</v>
      </c>
      <c r="B2676" s="223">
        <v>21</v>
      </c>
      <c r="C2676" s="223">
        <v>31</v>
      </c>
      <c r="D2676" s="223">
        <v>4</v>
      </c>
      <c r="E2676" s="223">
        <v>146</v>
      </c>
    </row>
    <row r="2677" spans="1:5" ht="15">
      <c r="A2677" s="223" t="s">
        <v>462</v>
      </c>
      <c r="B2677" s="223">
        <v>21</v>
      </c>
      <c r="C2677" s="223">
        <v>31</v>
      </c>
      <c r="D2677" s="223">
        <v>7</v>
      </c>
      <c r="E2677" s="223">
        <v>2000</v>
      </c>
    </row>
    <row r="2678" spans="1:5" ht="15">
      <c r="A2678" s="223" t="s">
        <v>462</v>
      </c>
      <c r="B2678" s="223">
        <v>21</v>
      </c>
      <c r="C2678" s="223">
        <v>31</v>
      </c>
      <c r="D2678" s="223">
        <v>8</v>
      </c>
      <c r="E2678" s="223">
        <v>300</v>
      </c>
    </row>
    <row r="2679" spans="1:5" ht="15">
      <c r="A2679" s="223" t="s">
        <v>462</v>
      </c>
      <c r="B2679" s="223">
        <v>21</v>
      </c>
      <c r="C2679" s="223">
        <v>33</v>
      </c>
      <c r="D2679" s="223">
        <v>5</v>
      </c>
      <c r="E2679" s="223">
        <v>2600</v>
      </c>
    </row>
    <row r="2680" spans="1:5" ht="15">
      <c r="A2680" s="223" t="s">
        <v>462</v>
      </c>
      <c r="B2680" s="223">
        <v>23</v>
      </c>
      <c r="C2680" s="223">
        <v>27</v>
      </c>
      <c r="D2680" s="223">
        <v>5</v>
      </c>
      <c r="E2680" s="223">
        <v>1889</v>
      </c>
    </row>
    <row r="2681" spans="1:5" ht="15">
      <c r="A2681" s="223" t="s">
        <v>462</v>
      </c>
      <c r="B2681" s="223">
        <v>23</v>
      </c>
      <c r="C2681" s="223">
        <v>31</v>
      </c>
      <c r="D2681" s="223">
        <v>5</v>
      </c>
      <c r="E2681" s="223">
        <v>22600</v>
      </c>
    </row>
    <row r="2682" spans="1:5" ht="15">
      <c r="A2682" s="223" t="s">
        <v>462</v>
      </c>
      <c r="B2682" s="223">
        <v>23</v>
      </c>
      <c r="C2682" s="223">
        <v>32</v>
      </c>
      <c r="D2682" s="223">
        <v>5</v>
      </c>
      <c r="E2682" s="223">
        <v>12000</v>
      </c>
    </row>
    <row r="2683" spans="1:5" ht="15">
      <c r="A2683" s="223" t="s">
        <v>462</v>
      </c>
      <c r="B2683" s="223">
        <v>23</v>
      </c>
      <c r="C2683" s="223">
        <v>33</v>
      </c>
      <c r="D2683" s="223">
        <v>5</v>
      </c>
      <c r="E2683" s="223">
        <v>1624</v>
      </c>
    </row>
    <row r="2684" spans="1:5" ht="15">
      <c r="A2684" s="223" t="s">
        <v>462</v>
      </c>
      <c r="B2684" s="223">
        <v>24</v>
      </c>
      <c r="C2684" s="223">
        <v>27</v>
      </c>
      <c r="D2684" s="223">
        <v>3</v>
      </c>
      <c r="E2684" s="223">
        <v>89407</v>
      </c>
    </row>
    <row r="2685" spans="1:5" ht="15">
      <c r="A2685" s="223" t="s">
        <v>462</v>
      </c>
      <c r="B2685" s="223">
        <v>24</v>
      </c>
      <c r="C2685" s="223">
        <v>27</v>
      </c>
      <c r="D2685" s="223">
        <v>4</v>
      </c>
      <c r="E2685" s="223">
        <v>63347</v>
      </c>
    </row>
    <row r="2686" spans="1:5" ht="15">
      <c r="A2686" s="223" t="s">
        <v>462</v>
      </c>
      <c r="B2686" s="223">
        <v>24</v>
      </c>
      <c r="C2686" s="223">
        <v>27</v>
      </c>
      <c r="D2686" s="223">
        <v>7</v>
      </c>
      <c r="E2686" s="223">
        <v>1457</v>
      </c>
    </row>
    <row r="2687" spans="1:5" ht="15">
      <c r="A2687" s="223" t="s">
        <v>464</v>
      </c>
      <c r="B2687" s="223">
        <v>21</v>
      </c>
      <c r="C2687" s="223">
        <v>26</v>
      </c>
      <c r="D2687" s="223">
        <v>7</v>
      </c>
      <c r="E2687" s="223">
        <v>1500</v>
      </c>
    </row>
    <row r="2688" spans="1:5" ht="15">
      <c r="A2688" s="223" t="s">
        <v>464</v>
      </c>
      <c r="B2688" s="223">
        <v>21</v>
      </c>
      <c r="C2688" s="223">
        <v>27</v>
      </c>
      <c r="D2688" s="223">
        <v>2</v>
      </c>
      <c r="E2688" s="223">
        <v>81148</v>
      </c>
    </row>
    <row r="2689" spans="1:5" ht="15">
      <c r="A2689" s="223" t="s">
        <v>464</v>
      </c>
      <c r="B2689" s="223">
        <v>21</v>
      </c>
      <c r="C2689" s="223">
        <v>27</v>
      </c>
      <c r="D2689" s="223">
        <v>3</v>
      </c>
      <c r="E2689" s="223">
        <v>105086</v>
      </c>
    </row>
    <row r="2690" spans="1:5" ht="15">
      <c r="A2690" s="223" t="s">
        <v>464</v>
      </c>
      <c r="B2690" s="223">
        <v>21</v>
      </c>
      <c r="C2690" s="223">
        <v>27</v>
      </c>
      <c r="D2690" s="223">
        <v>4</v>
      </c>
      <c r="E2690" s="223">
        <v>109404</v>
      </c>
    </row>
    <row r="2691" spans="1:5" ht="15">
      <c r="A2691" s="223" t="s">
        <v>464</v>
      </c>
      <c r="B2691" s="223">
        <v>21</v>
      </c>
      <c r="C2691" s="223">
        <v>27</v>
      </c>
      <c r="D2691" s="223">
        <v>5</v>
      </c>
      <c r="E2691" s="223">
        <v>2850</v>
      </c>
    </row>
    <row r="2692" spans="1:5" ht="15">
      <c r="A2692" s="223" t="s">
        <v>464</v>
      </c>
      <c r="B2692" s="223">
        <v>21</v>
      </c>
      <c r="C2692" s="223">
        <v>27</v>
      </c>
      <c r="D2692" s="223">
        <v>7</v>
      </c>
      <c r="E2692" s="223">
        <v>250</v>
      </c>
    </row>
    <row r="2693" spans="1:5" ht="15">
      <c r="A2693" s="223" t="s">
        <v>464</v>
      </c>
      <c r="B2693" s="223">
        <v>21</v>
      </c>
      <c r="C2693" s="223">
        <v>27</v>
      </c>
      <c r="D2693" s="223">
        <v>8</v>
      </c>
      <c r="E2693" s="223">
        <v>250</v>
      </c>
    </row>
    <row r="2694" spans="1:5" ht="15">
      <c r="A2694" s="223" t="s">
        <v>464</v>
      </c>
      <c r="B2694" s="223">
        <v>21</v>
      </c>
      <c r="C2694" s="223">
        <v>32</v>
      </c>
      <c r="D2694" s="223">
        <v>5</v>
      </c>
      <c r="E2694" s="223">
        <v>500</v>
      </c>
    </row>
    <row r="2695" spans="1:5" ht="15">
      <c r="A2695" s="223" t="s">
        <v>464</v>
      </c>
      <c r="B2695" s="223">
        <v>24</v>
      </c>
      <c r="C2695" s="223">
        <v>26</v>
      </c>
      <c r="D2695" s="223">
        <v>7</v>
      </c>
      <c r="E2695" s="223">
        <v>70000</v>
      </c>
    </row>
    <row r="2696" spans="1:5" ht="15">
      <c r="A2696" s="223" t="s">
        <v>466</v>
      </c>
      <c r="B2696" s="223">
        <v>21</v>
      </c>
      <c r="C2696" s="223">
        <v>21</v>
      </c>
      <c r="D2696" s="223">
        <v>0</v>
      </c>
      <c r="E2696" s="223">
        <v>1200</v>
      </c>
    </row>
    <row r="2697" spans="1:5" ht="15">
      <c r="A2697" s="223" t="s">
        <v>466</v>
      </c>
      <c r="B2697" s="223">
        <v>21</v>
      </c>
      <c r="C2697" s="223">
        <v>21</v>
      </c>
      <c r="D2697" s="223">
        <v>2</v>
      </c>
      <c r="E2697" s="223">
        <v>440473</v>
      </c>
    </row>
    <row r="2698" spans="1:5" ht="15">
      <c r="A2698" s="223" t="s">
        <v>466</v>
      </c>
      <c r="B2698" s="223">
        <v>21</v>
      </c>
      <c r="C2698" s="223">
        <v>21</v>
      </c>
      <c r="D2698" s="223">
        <v>3</v>
      </c>
      <c r="E2698" s="223">
        <v>185928</v>
      </c>
    </row>
    <row r="2699" spans="1:5" ht="15">
      <c r="A2699" s="223" t="s">
        <v>466</v>
      </c>
      <c r="B2699" s="223">
        <v>21</v>
      </c>
      <c r="C2699" s="223">
        <v>21</v>
      </c>
      <c r="D2699" s="223">
        <v>4</v>
      </c>
      <c r="E2699" s="223">
        <v>211032</v>
      </c>
    </row>
    <row r="2700" spans="1:5" ht="15">
      <c r="A2700" s="223" t="s">
        <v>466</v>
      </c>
      <c r="B2700" s="223">
        <v>21</v>
      </c>
      <c r="C2700" s="223">
        <v>21</v>
      </c>
      <c r="D2700" s="223">
        <v>7</v>
      </c>
      <c r="E2700" s="223">
        <v>4250</v>
      </c>
    </row>
    <row r="2701" spans="1:5" ht="15">
      <c r="A2701" s="223" t="s">
        <v>466</v>
      </c>
      <c r="B2701" s="223">
        <v>21</v>
      </c>
      <c r="C2701" s="223">
        <v>21</v>
      </c>
      <c r="D2701" s="223">
        <v>8</v>
      </c>
      <c r="E2701" s="223">
        <v>1200</v>
      </c>
    </row>
    <row r="2702" spans="1:5" ht="15">
      <c r="A2702" s="223" t="s">
        <v>466</v>
      </c>
      <c r="B2702" s="223">
        <v>21</v>
      </c>
      <c r="C2702" s="223">
        <v>23</v>
      </c>
      <c r="D2702" s="223">
        <v>3</v>
      </c>
      <c r="E2702" s="223">
        <v>9996</v>
      </c>
    </row>
    <row r="2703" spans="1:5" ht="15">
      <c r="A2703" s="223" t="s">
        <v>466</v>
      </c>
      <c r="B2703" s="223">
        <v>21</v>
      </c>
      <c r="C2703" s="223">
        <v>23</v>
      </c>
      <c r="D2703" s="223">
        <v>4</v>
      </c>
      <c r="E2703" s="223">
        <v>993</v>
      </c>
    </row>
    <row r="2704" spans="1:5" ht="15">
      <c r="A2704" s="223" t="s">
        <v>466</v>
      </c>
      <c r="B2704" s="223">
        <v>21</v>
      </c>
      <c r="C2704" s="223">
        <v>26</v>
      </c>
      <c r="D2704" s="223">
        <v>2</v>
      </c>
      <c r="E2704" s="223">
        <v>1696154</v>
      </c>
    </row>
    <row r="2705" spans="1:5" ht="15">
      <c r="A2705" s="223" t="s">
        <v>466</v>
      </c>
      <c r="B2705" s="223">
        <v>21</v>
      </c>
      <c r="C2705" s="223">
        <v>26</v>
      </c>
      <c r="D2705" s="223">
        <v>3</v>
      </c>
      <c r="E2705" s="223">
        <v>283665</v>
      </c>
    </row>
    <row r="2706" spans="1:5" ht="15">
      <c r="A2706" s="223" t="s">
        <v>466</v>
      </c>
      <c r="B2706" s="223">
        <v>21</v>
      </c>
      <c r="C2706" s="223">
        <v>26</v>
      </c>
      <c r="D2706" s="223">
        <v>4</v>
      </c>
      <c r="E2706" s="223">
        <v>797627</v>
      </c>
    </row>
    <row r="2707" spans="1:5" ht="15">
      <c r="A2707" s="223" t="s">
        <v>466</v>
      </c>
      <c r="B2707" s="223">
        <v>21</v>
      </c>
      <c r="C2707" s="223">
        <v>26</v>
      </c>
      <c r="D2707" s="223">
        <v>5</v>
      </c>
      <c r="E2707" s="223">
        <v>6200</v>
      </c>
    </row>
    <row r="2708" spans="1:5" ht="15">
      <c r="A2708" s="223" t="s">
        <v>466</v>
      </c>
      <c r="B2708" s="223">
        <v>21</v>
      </c>
      <c r="C2708" s="223">
        <v>26</v>
      </c>
      <c r="D2708" s="223">
        <v>7</v>
      </c>
      <c r="E2708" s="223">
        <v>228206</v>
      </c>
    </row>
    <row r="2709" spans="1:5" ht="15">
      <c r="A2709" s="223" t="s">
        <v>466</v>
      </c>
      <c r="B2709" s="223">
        <v>21</v>
      </c>
      <c r="C2709" s="223">
        <v>26</v>
      </c>
      <c r="D2709" s="223">
        <v>8</v>
      </c>
      <c r="E2709" s="223">
        <v>1800</v>
      </c>
    </row>
    <row r="2710" spans="1:5" ht="15">
      <c r="A2710" s="223" t="s">
        <v>466</v>
      </c>
      <c r="B2710" s="223">
        <v>21</v>
      </c>
      <c r="C2710" s="223">
        <v>27</v>
      </c>
      <c r="D2710" s="223">
        <v>0</v>
      </c>
      <c r="E2710" s="223">
        <v>300</v>
      </c>
    </row>
    <row r="2711" spans="1:5" ht="15">
      <c r="A2711" s="223" t="s">
        <v>466</v>
      </c>
      <c r="B2711" s="223">
        <v>21</v>
      </c>
      <c r="C2711" s="223">
        <v>27</v>
      </c>
      <c r="D2711" s="223">
        <v>2</v>
      </c>
      <c r="E2711" s="223">
        <v>3515248</v>
      </c>
    </row>
    <row r="2712" spans="1:5" ht="15">
      <c r="A2712" s="223" t="s">
        <v>466</v>
      </c>
      <c r="B2712" s="223">
        <v>21</v>
      </c>
      <c r="C2712" s="223">
        <v>27</v>
      </c>
      <c r="D2712" s="223">
        <v>3</v>
      </c>
      <c r="E2712" s="223">
        <v>3195788</v>
      </c>
    </row>
    <row r="2713" spans="1:5" ht="15">
      <c r="A2713" s="223" t="s">
        <v>466</v>
      </c>
      <c r="B2713" s="223">
        <v>21</v>
      </c>
      <c r="C2713" s="223">
        <v>27</v>
      </c>
      <c r="D2713" s="223">
        <v>4</v>
      </c>
      <c r="E2713" s="223">
        <v>3427953</v>
      </c>
    </row>
    <row r="2714" spans="1:5" ht="15">
      <c r="A2714" s="223" t="s">
        <v>466</v>
      </c>
      <c r="B2714" s="223">
        <v>21</v>
      </c>
      <c r="C2714" s="223">
        <v>27</v>
      </c>
      <c r="D2714" s="223">
        <v>5</v>
      </c>
      <c r="E2714" s="223">
        <v>19707</v>
      </c>
    </row>
    <row r="2715" spans="1:5" ht="15">
      <c r="A2715" s="223" t="s">
        <v>466</v>
      </c>
      <c r="B2715" s="223">
        <v>21</v>
      </c>
      <c r="C2715" s="223">
        <v>27</v>
      </c>
      <c r="D2715" s="223">
        <v>8</v>
      </c>
      <c r="E2715" s="223">
        <v>1150</v>
      </c>
    </row>
    <row r="2716" spans="1:5" ht="15">
      <c r="A2716" s="223" t="s">
        <v>466</v>
      </c>
      <c r="B2716" s="223">
        <v>21</v>
      </c>
      <c r="C2716" s="223">
        <v>29</v>
      </c>
      <c r="D2716" s="223">
        <v>7</v>
      </c>
      <c r="E2716" s="223">
        <v>644507</v>
      </c>
    </row>
    <row r="2717" spans="1:5" ht="15">
      <c r="A2717" s="223" t="s">
        <v>466</v>
      </c>
      <c r="B2717" s="223">
        <v>21</v>
      </c>
      <c r="C2717" s="223">
        <v>31</v>
      </c>
      <c r="D2717" s="223">
        <v>2</v>
      </c>
      <c r="E2717" s="223">
        <v>30694</v>
      </c>
    </row>
    <row r="2718" spans="1:5" ht="15">
      <c r="A2718" s="223" t="s">
        <v>466</v>
      </c>
      <c r="B2718" s="223">
        <v>21</v>
      </c>
      <c r="C2718" s="223">
        <v>31</v>
      </c>
      <c r="D2718" s="223">
        <v>4</v>
      </c>
      <c r="E2718" s="223">
        <v>6692</v>
      </c>
    </row>
    <row r="2719" spans="1:5" ht="15">
      <c r="A2719" s="223" t="s">
        <v>466</v>
      </c>
      <c r="B2719" s="223">
        <v>21</v>
      </c>
      <c r="C2719" s="223">
        <v>31</v>
      </c>
      <c r="D2719" s="223">
        <v>5</v>
      </c>
      <c r="E2719" s="223">
        <v>5000</v>
      </c>
    </row>
    <row r="2720" spans="1:5" ht="15">
      <c r="A2720" s="223" t="s">
        <v>466</v>
      </c>
      <c r="B2720" s="223">
        <v>21</v>
      </c>
      <c r="C2720" s="223">
        <v>31</v>
      </c>
      <c r="D2720" s="223">
        <v>7</v>
      </c>
      <c r="E2720" s="223">
        <v>3000</v>
      </c>
    </row>
    <row r="2721" spans="1:5" ht="15">
      <c r="A2721" s="223" t="s">
        <v>466</v>
      </c>
      <c r="B2721" s="223">
        <v>21</v>
      </c>
      <c r="C2721" s="223">
        <v>31</v>
      </c>
      <c r="D2721" s="223">
        <v>8</v>
      </c>
      <c r="E2721" s="223">
        <v>1000</v>
      </c>
    </row>
    <row r="2722" spans="1:5" ht="15">
      <c r="A2722" s="223" t="s">
        <v>466</v>
      </c>
      <c r="B2722" s="223">
        <v>21</v>
      </c>
      <c r="C2722" s="223">
        <v>32</v>
      </c>
      <c r="D2722" s="223">
        <v>5</v>
      </c>
      <c r="E2722" s="223">
        <v>7500</v>
      </c>
    </row>
    <row r="2723" spans="1:5" ht="15">
      <c r="A2723" s="223" t="s">
        <v>466</v>
      </c>
      <c r="B2723" s="223">
        <v>21</v>
      </c>
      <c r="C2723" s="223">
        <v>34</v>
      </c>
      <c r="D2723" s="223">
        <v>2</v>
      </c>
      <c r="E2723" s="223">
        <v>78495</v>
      </c>
    </row>
    <row r="2724" spans="1:5" ht="15">
      <c r="A2724" s="223" t="s">
        <v>466</v>
      </c>
      <c r="B2724" s="223">
        <v>21</v>
      </c>
      <c r="C2724" s="223">
        <v>34</v>
      </c>
      <c r="D2724" s="223">
        <v>4</v>
      </c>
      <c r="E2724" s="223">
        <v>18261</v>
      </c>
    </row>
    <row r="2725" spans="1:5" ht="15">
      <c r="A2725" s="223" t="s">
        <v>466</v>
      </c>
      <c r="B2725" s="223">
        <v>23</v>
      </c>
      <c r="C2725" s="223">
        <v>26</v>
      </c>
      <c r="D2725" s="223">
        <v>5</v>
      </c>
      <c r="E2725" s="223">
        <v>69526</v>
      </c>
    </row>
    <row r="2726" spans="1:5" ht="15">
      <c r="A2726" s="223" t="s">
        <v>466</v>
      </c>
      <c r="B2726" s="223">
        <v>23</v>
      </c>
      <c r="C2726" s="223">
        <v>27</v>
      </c>
      <c r="D2726" s="223">
        <v>2</v>
      </c>
      <c r="E2726" s="223">
        <v>147710</v>
      </c>
    </row>
    <row r="2727" spans="1:5" ht="15">
      <c r="A2727" s="223" t="s">
        <v>466</v>
      </c>
      <c r="B2727" s="223">
        <v>23</v>
      </c>
      <c r="C2727" s="223">
        <v>27</v>
      </c>
      <c r="D2727" s="223">
        <v>4</v>
      </c>
      <c r="E2727" s="223">
        <v>59050</v>
      </c>
    </row>
    <row r="2728" spans="1:5" ht="15">
      <c r="A2728" s="223" t="s">
        <v>466</v>
      </c>
      <c r="B2728" s="223">
        <v>23</v>
      </c>
      <c r="C2728" s="223">
        <v>31</v>
      </c>
      <c r="D2728" s="223">
        <v>2</v>
      </c>
      <c r="E2728" s="223">
        <v>2336</v>
      </c>
    </row>
    <row r="2729" spans="1:5" ht="15">
      <c r="A2729" s="223" t="s">
        <v>466</v>
      </c>
      <c r="B2729" s="223">
        <v>23</v>
      </c>
      <c r="C2729" s="223">
        <v>31</v>
      </c>
      <c r="D2729" s="223">
        <v>4</v>
      </c>
      <c r="E2729" s="223">
        <v>544</v>
      </c>
    </row>
    <row r="2730" spans="1:5" ht="15">
      <c r="A2730" s="223" t="s">
        <v>466</v>
      </c>
      <c r="B2730" s="223">
        <v>24</v>
      </c>
      <c r="C2730" s="223">
        <v>27</v>
      </c>
      <c r="D2730" s="223">
        <v>2</v>
      </c>
      <c r="E2730" s="223">
        <v>1062313</v>
      </c>
    </row>
    <row r="2731" spans="1:5" ht="15">
      <c r="A2731" s="223" t="s">
        <v>466</v>
      </c>
      <c r="B2731" s="223">
        <v>24</v>
      </c>
      <c r="C2731" s="223">
        <v>27</v>
      </c>
      <c r="D2731" s="223">
        <v>3</v>
      </c>
      <c r="E2731" s="223">
        <v>45135</v>
      </c>
    </row>
    <row r="2732" spans="1:5" ht="15">
      <c r="A2732" s="223" t="s">
        <v>466</v>
      </c>
      <c r="B2732" s="223">
        <v>24</v>
      </c>
      <c r="C2732" s="223">
        <v>27</v>
      </c>
      <c r="D2732" s="223">
        <v>4</v>
      </c>
      <c r="E2732" s="223">
        <v>421172</v>
      </c>
    </row>
    <row r="2733" spans="1:5" ht="15">
      <c r="A2733" s="223" t="s">
        <v>466</v>
      </c>
      <c r="B2733" s="223">
        <v>24</v>
      </c>
      <c r="C2733" s="223">
        <v>31</v>
      </c>
      <c r="D2733" s="223">
        <v>2</v>
      </c>
      <c r="E2733" s="223">
        <v>17021</v>
      </c>
    </row>
    <row r="2734" spans="1:5" ht="15">
      <c r="A2734" s="223" t="s">
        <v>466</v>
      </c>
      <c r="B2734" s="223">
        <v>24</v>
      </c>
      <c r="C2734" s="223">
        <v>31</v>
      </c>
      <c r="D2734" s="223">
        <v>4</v>
      </c>
      <c r="E2734" s="223">
        <v>3943</v>
      </c>
    </row>
    <row r="2735" spans="1:5" ht="15">
      <c r="A2735" s="223" t="s">
        <v>468</v>
      </c>
      <c r="B2735" s="223">
        <v>21</v>
      </c>
      <c r="C2735" s="223">
        <v>26</v>
      </c>
      <c r="D2735" s="223">
        <v>7</v>
      </c>
      <c r="E2735" s="223">
        <v>48089</v>
      </c>
    </row>
    <row r="2736" spans="1:5" ht="15">
      <c r="A2736" s="223" t="s">
        <v>468</v>
      </c>
      <c r="B2736" s="223">
        <v>21</v>
      </c>
      <c r="C2736" s="223">
        <v>27</v>
      </c>
      <c r="D2736" s="223">
        <v>2</v>
      </c>
      <c r="E2736" s="223">
        <v>33821</v>
      </c>
    </row>
    <row r="2737" spans="1:5" ht="15">
      <c r="A2737" s="223" t="s">
        <v>468</v>
      </c>
      <c r="B2737" s="223">
        <v>21</v>
      </c>
      <c r="C2737" s="223">
        <v>27</v>
      </c>
      <c r="D2737" s="223">
        <v>3</v>
      </c>
      <c r="E2737" s="223">
        <v>103401</v>
      </c>
    </row>
    <row r="2738" spans="1:5" ht="15">
      <c r="A2738" s="223" t="s">
        <v>468</v>
      </c>
      <c r="B2738" s="223">
        <v>21</v>
      </c>
      <c r="C2738" s="223">
        <v>27</v>
      </c>
      <c r="D2738" s="223">
        <v>4</v>
      </c>
      <c r="E2738" s="223">
        <v>84155</v>
      </c>
    </row>
    <row r="2739" spans="1:5" ht="15">
      <c r="A2739" s="223" t="s">
        <v>468</v>
      </c>
      <c r="B2739" s="223">
        <v>21</v>
      </c>
      <c r="C2739" s="223">
        <v>27</v>
      </c>
      <c r="D2739" s="223">
        <v>5</v>
      </c>
      <c r="E2739" s="223">
        <v>2300</v>
      </c>
    </row>
    <row r="2740" spans="1:5" ht="15">
      <c r="A2740" s="223" t="s">
        <v>468</v>
      </c>
      <c r="B2740" s="223">
        <v>21</v>
      </c>
      <c r="C2740" s="223">
        <v>33</v>
      </c>
      <c r="D2740" s="223">
        <v>5</v>
      </c>
      <c r="E2740" s="223">
        <v>1000</v>
      </c>
    </row>
    <row r="2741" spans="1:5" ht="15">
      <c r="A2741" s="223" t="s">
        <v>468</v>
      </c>
      <c r="B2741" s="223">
        <v>24</v>
      </c>
      <c r="C2741" s="223">
        <v>26</v>
      </c>
      <c r="D2741" s="223">
        <v>7</v>
      </c>
      <c r="E2741" s="223">
        <v>12887</v>
      </c>
    </row>
    <row r="2742" spans="1:5" ht="15">
      <c r="A2742" s="223" t="s">
        <v>468</v>
      </c>
      <c r="B2742" s="223">
        <v>24</v>
      </c>
      <c r="C2742" s="223">
        <v>27</v>
      </c>
      <c r="D2742" s="223">
        <v>2</v>
      </c>
      <c r="E2742" s="223">
        <v>27876</v>
      </c>
    </row>
    <row r="2743" spans="1:5" ht="15">
      <c r="A2743" s="223" t="s">
        <v>468</v>
      </c>
      <c r="B2743" s="223">
        <v>24</v>
      </c>
      <c r="C2743" s="223">
        <v>27</v>
      </c>
      <c r="D2743" s="223">
        <v>4</v>
      </c>
      <c r="E2743" s="223">
        <v>12122</v>
      </c>
    </row>
    <row r="2744" spans="1:5" ht="15">
      <c r="A2744" s="223" t="s">
        <v>470</v>
      </c>
      <c r="B2744" s="223">
        <v>21</v>
      </c>
      <c r="C2744" s="223">
        <v>21</v>
      </c>
      <c r="D2744" s="223">
        <v>3</v>
      </c>
      <c r="E2744" s="223">
        <v>21091</v>
      </c>
    </row>
    <row r="2745" spans="1:5" ht="15">
      <c r="A2745" s="223" t="s">
        <v>470</v>
      </c>
      <c r="B2745" s="223">
        <v>21</v>
      </c>
      <c r="C2745" s="223">
        <v>21</v>
      </c>
      <c r="D2745" s="223">
        <v>4</v>
      </c>
      <c r="E2745" s="223">
        <v>10368</v>
      </c>
    </row>
    <row r="2746" spans="1:5" ht="15">
      <c r="A2746" s="223" t="s">
        <v>470</v>
      </c>
      <c r="B2746" s="223">
        <v>21</v>
      </c>
      <c r="C2746" s="223">
        <v>21</v>
      </c>
      <c r="D2746" s="223">
        <v>5</v>
      </c>
      <c r="E2746" s="223">
        <v>300</v>
      </c>
    </row>
    <row r="2747" spans="1:5" ht="15">
      <c r="A2747" s="223" t="s">
        <v>470</v>
      </c>
      <c r="B2747" s="223">
        <v>21</v>
      </c>
      <c r="C2747" s="223">
        <v>26</v>
      </c>
      <c r="D2747" s="223">
        <v>2</v>
      </c>
      <c r="E2747" s="223">
        <v>58120</v>
      </c>
    </row>
    <row r="2748" spans="1:5" ht="15">
      <c r="A2748" s="223" t="s">
        <v>470</v>
      </c>
      <c r="B2748" s="223">
        <v>21</v>
      </c>
      <c r="C2748" s="223">
        <v>26</v>
      </c>
      <c r="D2748" s="223">
        <v>4</v>
      </c>
      <c r="E2748" s="223">
        <v>21205</v>
      </c>
    </row>
    <row r="2749" spans="1:5" ht="15">
      <c r="A2749" s="223" t="s">
        <v>470</v>
      </c>
      <c r="B2749" s="223">
        <v>21</v>
      </c>
      <c r="C2749" s="223">
        <v>26</v>
      </c>
      <c r="D2749" s="223">
        <v>7</v>
      </c>
      <c r="E2749" s="223">
        <v>78000</v>
      </c>
    </row>
    <row r="2750" spans="1:5" ht="15">
      <c r="A2750" s="223" t="s">
        <v>470</v>
      </c>
      <c r="B2750" s="223">
        <v>21</v>
      </c>
      <c r="C2750" s="223">
        <v>27</v>
      </c>
      <c r="D2750" s="223">
        <v>2</v>
      </c>
      <c r="E2750" s="223">
        <v>148877</v>
      </c>
    </row>
    <row r="2751" spans="1:5" ht="15">
      <c r="A2751" s="223" t="s">
        <v>470</v>
      </c>
      <c r="B2751" s="223">
        <v>21</v>
      </c>
      <c r="C2751" s="223">
        <v>27</v>
      </c>
      <c r="D2751" s="223">
        <v>3</v>
      </c>
      <c r="E2751" s="223">
        <v>184018</v>
      </c>
    </row>
    <row r="2752" spans="1:5" ht="15">
      <c r="A2752" s="223" t="s">
        <v>470</v>
      </c>
      <c r="B2752" s="223">
        <v>21</v>
      </c>
      <c r="C2752" s="223">
        <v>27</v>
      </c>
      <c r="D2752" s="223">
        <v>4</v>
      </c>
      <c r="E2752" s="223">
        <v>161057</v>
      </c>
    </row>
    <row r="2753" spans="1:5" ht="15">
      <c r="A2753" s="223" t="s">
        <v>470</v>
      </c>
      <c r="B2753" s="223">
        <v>21</v>
      </c>
      <c r="C2753" s="223">
        <v>27</v>
      </c>
      <c r="D2753" s="223">
        <v>5</v>
      </c>
      <c r="E2753" s="223">
        <v>7000</v>
      </c>
    </row>
    <row r="2754" spans="1:5" ht="15">
      <c r="A2754" s="223" t="s">
        <v>470</v>
      </c>
      <c r="B2754" s="223">
        <v>21</v>
      </c>
      <c r="C2754" s="223">
        <v>27</v>
      </c>
      <c r="D2754" s="223">
        <v>7</v>
      </c>
      <c r="E2754" s="223">
        <v>6850</v>
      </c>
    </row>
    <row r="2755" spans="1:5" ht="15">
      <c r="A2755" s="223" t="s">
        <v>470</v>
      </c>
      <c r="B2755" s="223">
        <v>21</v>
      </c>
      <c r="C2755" s="223">
        <v>27</v>
      </c>
      <c r="D2755" s="223">
        <v>8</v>
      </c>
      <c r="E2755" s="223">
        <v>500</v>
      </c>
    </row>
    <row r="2756" spans="1:5" ht="15">
      <c r="A2756" s="223" t="s">
        <v>470</v>
      </c>
      <c r="B2756" s="223">
        <v>21</v>
      </c>
      <c r="C2756" s="223">
        <v>31</v>
      </c>
      <c r="D2756" s="223">
        <v>2</v>
      </c>
      <c r="E2756" s="223">
        <v>1534</v>
      </c>
    </row>
    <row r="2757" spans="1:5" ht="15">
      <c r="A2757" s="223" t="s">
        <v>470</v>
      </c>
      <c r="B2757" s="223">
        <v>24</v>
      </c>
      <c r="C2757" s="223">
        <v>26</v>
      </c>
      <c r="D2757" s="223">
        <v>2</v>
      </c>
      <c r="E2757" s="223">
        <v>24908</v>
      </c>
    </row>
    <row r="2758" spans="1:5" ht="15">
      <c r="A2758" s="223" t="s">
        <v>470</v>
      </c>
      <c r="B2758" s="223">
        <v>24</v>
      </c>
      <c r="C2758" s="223">
        <v>26</v>
      </c>
      <c r="D2758" s="223">
        <v>4</v>
      </c>
      <c r="E2758" s="223">
        <v>9088</v>
      </c>
    </row>
    <row r="2759" spans="1:5" ht="15">
      <c r="A2759" s="223" t="s">
        <v>1052</v>
      </c>
      <c r="B2759" s="223">
        <v>21</v>
      </c>
      <c r="C2759" s="223">
        <v>27</v>
      </c>
      <c r="D2759" s="223">
        <v>2</v>
      </c>
      <c r="E2759" s="223">
        <v>40512</v>
      </c>
    </row>
    <row r="2760" spans="1:5" ht="15">
      <c r="A2760" s="223" t="s">
        <v>1052</v>
      </c>
      <c r="B2760" s="223">
        <v>21</v>
      </c>
      <c r="C2760" s="223">
        <v>27</v>
      </c>
      <c r="D2760" s="223">
        <v>3</v>
      </c>
      <c r="E2760" s="223">
        <v>17174</v>
      </c>
    </row>
    <row r="2761" spans="1:5" ht="15">
      <c r="A2761" s="223" t="s">
        <v>1052</v>
      </c>
      <c r="B2761" s="223">
        <v>21</v>
      </c>
      <c r="C2761" s="223">
        <v>27</v>
      </c>
      <c r="D2761" s="223">
        <v>4</v>
      </c>
      <c r="E2761" s="223">
        <v>18681</v>
      </c>
    </row>
    <row r="2762" spans="1:5" ht="15">
      <c r="A2762" s="223" t="s">
        <v>1052</v>
      </c>
      <c r="B2762" s="223">
        <v>21</v>
      </c>
      <c r="C2762" s="223">
        <v>27</v>
      </c>
      <c r="D2762" s="223">
        <v>5</v>
      </c>
      <c r="E2762" s="223">
        <v>500</v>
      </c>
    </row>
    <row r="2763" spans="1:5" ht="15">
      <c r="A2763" s="223" t="s">
        <v>1052</v>
      </c>
      <c r="B2763" s="223">
        <v>21</v>
      </c>
      <c r="C2763" s="223">
        <v>27</v>
      </c>
      <c r="D2763" s="223">
        <v>7</v>
      </c>
      <c r="E2763" s="223">
        <v>1550</v>
      </c>
    </row>
    <row r="2764" spans="1:5" ht="15">
      <c r="A2764" s="223" t="s">
        <v>1052</v>
      </c>
      <c r="B2764" s="223">
        <v>21</v>
      </c>
      <c r="C2764" s="223">
        <v>31</v>
      </c>
      <c r="D2764" s="223">
        <v>7</v>
      </c>
      <c r="E2764" s="223">
        <v>15300</v>
      </c>
    </row>
    <row r="2765" spans="1:5" ht="15">
      <c r="A2765" s="223" t="s">
        <v>1052</v>
      </c>
      <c r="B2765" s="223">
        <v>21</v>
      </c>
      <c r="C2765" s="223">
        <v>32</v>
      </c>
      <c r="D2765" s="223">
        <v>7</v>
      </c>
      <c r="E2765" s="223">
        <v>1200</v>
      </c>
    </row>
    <row r="2766" spans="1:5" ht="15">
      <c r="A2766" s="223" t="s">
        <v>1052</v>
      </c>
      <c r="B2766" s="223">
        <v>24</v>
      </c>
      <c r="C2766" s="223">
        <v>27</v>
      </c>
      <c r="D2766" s="223">
        <v>2</v>
      </c>
      <c r="E2766" s="223">
        <v>2894</v>
      </c>
    </row>
    <row r="2767" spans="1:5" ht="15">
      <c r="A2767" s="223" t="s">
        <v>1052</v>
      </c>
      <c r="B2767" s="223">
        <v>24</v>
      </c>
      <c r="C2767" s="223">
        <v>27</v>
      </c>
      <c r="D2767" s="223">
        <v>4</v>
      </c>
      <c r="E2767" s="223">
        <v>679</v>
      </c>
    </row>
    <row r="2768" spans="1:5" ht="15">
      <c r="A2768" s="223" t="s">
        <v>1052</v>
      </c>
      <c r="B2768" s="223">
        <v>24</v>
      </c>
      <c r="C2768" s="223">
        <v>27</v>
      </c>
      <c r="D2768" s="223">
        <v>7</v>
      </c>
      <c r="E2768" s="223">
        <v>3450</v>
      </c>
    </row>
    <row r="2769" spans="1:5" ht="15">
      <c r="A2769" s="223" t="s">
        <v>486</v>
      </c>
      <c r="B2769" s="223">
        <v>21</v>
      </c>
      <c r="C2769" s="223">
        <v>29</v>
      </c>
      <c r="D2769" s="223">
        <v>7</v>
      </c>
      <c r="E2769" s="223">
        <v>353455</v>
      </c>
    </row>
    <row r="2770" spans="1:5" ht="15">
      <c r="A2770" s="223" t="s">
        <v>488</v>
      </c>
      <c r="B2770" s="223">
        <v>21</v>
      </c>
      <c r="C2770" s="223">
        <v>21</v>
      </c>
      <c r="D2770" s="223">
        <v>2</v>
      </c>
      <c r="E2770" s="223">
        <v>163083</v>
      </c>
    </row>
    <row r="2771" spans="1:5" ht="15">
      <c r="A2771" s="223" t="s">
        <v>488</v>
      </c>
      <c r="B2771" s="223">
        <v>21</v>
      </c>
      <c r="C2771" s="223">
        <v>21</v>
      </c>
      <c r="D2771" s="223">
        <v>3</v>
      </c>
      <c r="E2771" s="223">
        <v>99602</v>
      </c>
    </row>
    <row r="2772" spans="1:5" ht="15">
      <c r="A2772" s="223" t="s">
        <v>488</v>
      </c>
      <c r="B2772" s="223">
        <v>21</v>
      </c>
      <c r="C2772" s="223">
        <v>21</v>
      </c>
      <c r="D2772" s="223">
        <v>4</v>
      </c>
      <c r="E2772" s="223">
        <v>97422</v>
      </c>
    </row>
    <row r="2773" spans="1:5" ht="15">
      <c r="A2773" s="223" t="s">
        <v>488</v>
      </c>
      <c r="B2773" s="223">
        <v>21</v>
      </c>
      <c r="C2773" s="223">
        <v>21</v>
      </c>
      <c r="D2773" s="223">
        <v>5</v>
      </c>
      <c r="E2773" s="223">
        <v>10000</v>
      </c>
    </row>
    <row r="2774" spans="1:5" ht="15">
      <c r="A2774" s="223" t="s">
        <v>488</v>
      </c>
      <c r="B2774" s="223">
        <v>21</v>
      </c>
      <c r="C2774" s="223">
        <v>25</v>
      </c>
      <c r="D2774" s="223">
        <v>5</v>
      </c>
      <c r="E2774" s="223">
        <v>1000</v>
      </c>
    </row>
    <row r="2775" spans="1:5" ht="15">
      <c r="A2775" s="223" t="s">
        <v>488</v>
      </c>
      <c r="B2775" s="223">
        <v>21</v>
      </c>
      <c r="C2775" s="223">
        <v>26</v>
      </c>
      <c r="D2775" s="223">
        <v>2</v>
      </c>
      <c r="E2775" s="223">
        <v>1232432</v>
      </c>
    </row>
    <row r="2776" spans="1:5" ht="15">
      <c r="A2776" s="223" t="s">
        <v>488</v>
      </c>
      <c r="B2776" s="223">
        <v>21</v>
      </c>
      <c r="C2776" s="223">
        <v>26</v>
      </c>
      <c r="D2776" s="223">
        <v>3</v>
      </c>
      <c r="E2776" s="223">
        <v>142847</v>
      </c>
    </row>
    <row r="2777" spans="1:5" ht="15">
      <c r="A2777" s="223" t="s">
        <v>488</v>
      </c>
      <c r="B2777" s="223">
        <v>21</v>
      </c>
      <c r="C2777" s="223">
        <v>26</v>
      </c>
      <c r="D2777" s="223">
        <v>4</v>
      </c>
      <c r="E2777" s="223">
        <v>532596</v>
      </c>
    </row>
    <row r="2778" spans="1:5" ht="15">
      <c r="A2778" s="223" t="s">
        <v>488</v>
      </c>
      <c r="B2778" s="223">
        <v>21</v>
      </c>
      <c r="C2778" s="223">
        <v>26</v>
      </c>
      <c r="D2778" s="223">
        <v>5</v>
      </c>
      <c r="E2778" s="223">
        <v>300000</v>
      </c>
    </row>
    <row r="2779" spans="1:5" ht="15">
      <c r="A2779" s="223" t="s">
        <v>488</v>
      </c>
      <c r="B2779" s="223">
        <v>21</v>
      </c>
      <c r="C2779" s="223">
        <v>27</v>
      </c>
      <c r="D2779" s="223">
        <v>0</v>
      </c>
      <c r="E2779" s="223">
        <v>1000</v>
      </c>
    </row>
    <row r="2780" spans="1:5" ht="15">
      <c r="A2780" s="223" t="s">
        <v>488</v>
      </c>
      <c r="B2780" s="223">
        <v>21</v>
      </c>
      <c r="C2780" s="223">
        <v>27</v>
      </c>
      <c r="D2780" s="223">
        <v>2</v>
      </c>
      <c r="E2780" s="223">
        <v>1769529</v>
      </c>
    </row>
    <row r="2781" spans="1:5" ht="15">
      <c r="A2781" s="223" t="s">
        <v>488</v>
      </c>
      <c r="B2781" s="223">
        <v>21</v>
      </c>
      <c r="C2781" s="223">
        <v>27</v>
      </c>
      <c r="D2781" s="223">
        <v>3</v>
      </c>
      <c r="E2781" s="223">
        <v>1308748</v>
      </c>
    </row>
    <row r="2782" spans="1:5" ht="15">
      <c r="A2782" s="223" t="s">
        <v>488</v>
      </c>
      <c r="B2782" s="223">
        <v>21</v>
      </c>
      <c r="C2782" s="223">
        <v>27</v>
      </c>
      <c r="D2782" s="223">
        <v>4</v>
      </c>
      <c r="E2782" s="223">
        <v>1515715</v>
      </c>
    </row>
    <row r="2783" spans="1:5" ht="15">
      <c r="A2783" s="223" t="s">
        <v>488</v>
      </c>
      <c r="B2783" s="223">
        <v>21</v>
      </c>
      <c r="C2783" s="223">
        <v>27</v>
      </c>
      <c r="D2783" s="223">
        <v>5</v>
      </c>
      <c r="E2783" s="223">
        <v>250000</v>
      </c>
    </row>
    <row r="2784" spans="1:5" ht="15">
      <c r="A2784" s="223" t="s">
        <v>488</v>
      </c>
      <c r="B2784" s="223">
        <v>21</v>
      </c>
      <c r="C2784" s="223">
        <v>31</v>
      </c>
      <c r="D2784" s="223">
        <v>2</v>
      </c>
      <c r="E2784" s="223">
        <v>178525</v>
      </c>
    </row>
    <row r="2785" spans="1:5" ht="15">
      <c r="A2785" s="223" t="s">
        <v>488</v>
      </c>
      <c r="B2785" s="223">
        <v>21</v>
      </c>
      <c r="C2785" s="223">
        <v>31</v>
      </c>
      <c r="D2785" s="223">
        <v>4</v>
      </c>
      <c r="E2785" s="223">
        <v>39445</v>
      </c>
    </row>
    <row r="2786" spans="1:5" ht="15">
      <c r="A2786" s="223" t="s">
        <v>488</v>
      </c>
      <c r="B2786" s="223">
        <v>21</v>
      </c>
      <c r="C2786" s="223">
        <v>31</v>
      </c>
      <c r="D2786" s="223">
        <v>5</v>
      </c>
      <c r="E2786" s="223">
        <v>15000</v>
      </c>
    </row>
    <row r="2787" spans="1:5" ht="15">
      <c r="A2787" s="223" t="s">
        <v>488</v>
      </c>
      <c r="B2787" s="223">
        <v>21</v>
      </c>
      <c r="C2787" s="223">
        <v>32</v>
      </c>
      <c r="D2787" s="223">
        <v>5</v>
      </c>
      <c r="E2787" s="223">
        <v>45000</v>
      </c>
    </row>
    <row r="2788" spans="1:5" ht="15">
      <c r="A2788" s="223" t="s">
        <v>488</v>
      </c>
      <c r="B2788" s="223">
        <v>21</v>
      </c>
      <c r="C2788" s="223">
        <v>33</v>
      </c>
      <c r="D2788" s="223">
        <v>5</v>
      </c>
      <c r="E2788" s="223">
        <v>2500</v>
      </c>
    </row>
    <row r="2789" spans="1:5" ht="15">
      <c r="A2789" s="223" t="s">
        <v>488</v>
      </c>
      <c r="B2789" s="223">
        <v>24</v>
      </c>
      <c r="C2789" s="223">
        <v>26</v>
      </c>
      <c r="D2789" s="223">
        <v>2</v>
      </c>
      <c r="E2789" s="223">
        <v>144903</v>
      </c>
    </row>
    <row r="2790" spans="1:5" ht="15">
      <c r="A2790" s="223" t="s">
        <v>488</v>
      </c>
      <c r="B2790" s="223">
        <v>24</v>
      </c>
      <c r="C2790" s="223">
        <v>26</v>
      </c>
      <c r="D2790" s="223">
        <v>4</v>
      </c>
      <c r="E2790" s="223">
        <v>58028</v>
      </c>
    </row>
    <row r="2791" spans="1:5" ht="15">
      <c r="A2791" s="223" t="s">
        <v>488</v>
      </c>
      <c r="B2791" s="223">
        <v>24</v>
      </c>
      <c r="C2791" s="223">
        <v>27</v>
      </c>
      <c r="D2791" s="223">
        <v>2</v>
      </c>
      <c r="E2791" s="223">
        <v>131632</v>
      </c>
    </row>
    <row r="2792" spans="1:5" ht="15">
      <c r="A2792" s="223" t="s">
        <v>488</v>
      </c>
      <c r="B2792" s="223">
        <v>24</v>
      </c>
      <c r="C2792" s="223">
        <v>27</v>
      </c>
      <c r="D2792" s="223">
        <v>3</v>
      </c>
      <c r="E2792" s="223">
        <v>278922</v>
      </c>
    </row>
    <row r="2793" spans="1:5" ht="15">
      <c r="A2793" s="223" t="s">
        <v>488</v>
      </c>
      <c r="B2793" s="223">
        <v>24</v>
      </c>
      <c r="C2793" s="223">
        <v>27</v>
      </c>
      <c r="D2793" s="223">
        <v>4</v>
      </c>
      <c r="E2793" s="223">
        <v>238912</v>
      </c>
    </row>
    <row r="2794" spans="1:5" ht="15">
      <c r="A2794" s="223" t="s">
        <v>488</v>
      </c>
      <c r="B2794" s="223">
        <v>24</v>
      </c>
      <c r="C2794" s="223">
        <v>27</v>
      </c>
      <c r="D2794" s="223">
        <v>7</v>
      </c>
      <c r="E2794" s="223">
        <v>150000</v>
      </c>
    </row>
    <row r="2795" spans="1:5" ht="15">
      <c r="A2795" s="223" t="s">
        <v>488</v>
      </c>
      <c r="B2795" s="223">
        <v>24</v>
      </c>
      <c r="C2795" s="223">
        <v>31</v>
      </c>
      <c r="D2795" s="223">
        <v>2</v>
      </c>
      <c r="E2795" s="223">
        <v>11163</v>
      </c>
    </row>
    <row r="2796" spans="1:5" ht="15">
      <c r="A2796" s="223" t="s">
        <v>488</v>
      </c>
      <c r="B2796" s="223">
        <v>24</v>
      </c>
      <c r="C2796" s="223">
        <v>31</v>
      </c>
      <c r="D2796" s="223">
        <v>4</v>
      </c>
      <c r="E2796" s="223">
        <v>2539</v>
      </c>
    </row>
    <row r="2797" spans="1:5" ht="15">
      <c r="A2797" s="223" t="s">
        <v>490</v>
      </c>
      <c r="B2797" s="223">
        <v>21</v>
      </c>
      <c r="C2797" s="223">
        <v>21</v>
      </c>
      <c r="D2797" s="223">
        <v>2</v>
      </c>
      <c r="E2797" s="223">
        <v>54004</v>
      </c>
    </row>
    <row r="2798" spans="1:5" ht="15">
      <c r="A2798" s="223" t="s">
        <v>490</v>
      </c>
      <c r="B2798" s="223">
        <v>21</v>
      </c>
      <c r="C2798" s="223">
        <v>21</v>
      </c>
      <c r="D2798" s="223">
        <v>3</v>
      </c>
      <c r="E2798" s="223">
        <v>31051</v>
      </c>
    </row>
    <row r="2799" spans="1:5" ht="15">
      <c r="A2799" s="223" t="s">
        <v>490</v>
      </c>
      <c r="B2799" s="223">
        <v>21</v>
      </c>
      <c r="C2799" s="223">
        <v>21</v>
      </c>
      <c r="D2799" s="223">
        <v>4</v>
      </c>
      <c r="E2799" s="223">
        <v>33475</v>
      </c>
    </row>
    <row r="2800" spans="1:5" ht="15">
      <c r="A2800" s="223" t="s">
        <v>490</v>
      </c>
      <c r="B2800" s="223">
        <v>21</v>
      </c>
      <c r="C2800" s="223">
        <v>21</v>
      </c>
      <c r="D2800" s="223">
        <v>5</v>
      </c>
      <c r="E2800" s="223">
        <v>500</v>
      </c>
    </row>
    <row r="2801" spans="1:5" ht="15">
      <c r="A2801" s="223" t="s">
        <v>490</v>
      </c>
      <c r="B2801" s="223">
        <v>21</v>
      </c>
      <c r="C2801" s="223">
        <v>21</v>
      </c>
      <c r="D2801" s="223">
        <v>7</v>
      </c>
      <c r="E2801" s="223">
        <v>7500</v>
      </c>
    </row>
    <row r="2802" spans="1:5" ht="15">
      <c r="A2802" s="223" t="s">
        <v>490</v>
      </c>
      <c r="B2802" s="223">
        <v>21</v>
      </c>
      <c r="C2802" s="223">
        <v>21</v>
      </c>
      <c r="D2802" s="223">
        <v>8</v>
      </c>
      <c r="E2802" s="223">
        <v>500</v>
      </c>
    </row>
    <row r="2803" spans="1:5" ht="15">
      <c r="A2803" s="223" t="s">
        <v>490</v>
      </c>
      <c r="B2803" s="223">
        <v>21</v>
      </c>
      <c r="C2803" s="223">
        <v>24</v>
      </c>
      <c r="D2803" s="223">
        <v>5</v>
      </c>
      <c r="E2803" s="223">
        <v>500</v>
      </c>
    </row>
    <row r="2804" spans="1:5" ht="15">
      <c r="A2804" s="223" t="s">
        <v>490</v>
      </c>
      <c r="B2804" s="223">
        <v>21</v>
      </c>
      <c r="C2804" s="223">
        <v>24</v>
      </c>
      <c r="D2804" s="223">
        <v>7</v>
      </c>
      <c r="E2804" s="223">
        <v>2500</v>
      </c>
    </row>
    <row r="2805" spans="1:5" ht="15">
      <c r="A2805" s="223" t="s">
        <v>490</v>
      </c>
      <c r="B2805" s="223">
        <v>21</v>
      </c>
      <c r="C2805" s="223">
        <v>26</v>
      </c>
      <c r="D2805" s="223">
        <v>5</v>
      </c>
      <c r="E2805" s="223">
        <v>500</v>
      </c>
    </row>
    <row r="2806" spans="1:5" ht="15">
      <c r="A2806" s="223" t="s">
        <v>490</v>
      </c>
      <c r="B2806" s="223">
        <v>21</v>
      </c>
      <c r="C2806" s="223">
        <v>26</v>
      </c>
      <c r="D2806" s="223">
        <v>7</v>
      </c>
      <c r="E2806" s="223">
        <v>309730</v>
      </c>
    </row>
    <row r="2807" spans="1:5" ht="15">
      <c r="A2807" s="223" t="s">
        <v>490</v>
      </c>
      <c r="B2807" s="223">
        <v>21</v>
      </c>
      <c r="C2807" s="223">
        <v>27</v>
      </c>
      <c r="D2807" s="223">
        <v>2</v>
      </c>
      <c r="E2807" s="223">
        <v>246270</v>
      </c>
    </row>
    <row r="2808" spans="1:5" ht="15">
      <c r="A2808" s="223" t="s">
        <v>490</v>
      </c>
      <c r="B2808" s="223">
        <v>21</v>
      </c>
      <c r="C2808" s="223">
        <v>27</v>
      </c>
      <c r="D2808" s="223">
        <v>3</v>
      </c>
      <c r="E2808" s="223">
        <v>108546</v>
      </c>
    </row>
    <row r="2809" spans="1:5" ht="15">
      <c r="A2809" s="223" t="s">
        <v>490</v>
      </c>
      <c r="B2809" s="223">
        <v>21</v>
      </c>
      <c r="C2809" s="223">
        <v>27</v>
      </c>
      <c r="D2809" s="223">
        <v>4</v>
      </c>
      <c r="E2809" s="223">
        <v>107500</v>
      </c>
    </row>
    <row r="2810" spans="1:5" ht="15">
      <c r="A2810" s="223" t="s">
        <v>490</v>
      </c>
      <c r="B2810" s="223">
        <v>21</v>
      </c>
      <c r="C2810" s="223">
        <v>27</v>
      </c>
      <c r="D2810" s="223">
        <v>5</v>
      </c>
      <c r="E2810" s="223">
        <v>2500</v>
      </c>
    </row>
    <row r="2811" spans="1:5" ht="15">
      <c r="A2811" s="223" t="s">
        <v>490</v>
      </c>
      <c r="B2811" s="223">
        <v>21</v>
      </c>
      <c r="C2811" s="223">
        <v>27</v>
      </c>
      <c r="D2811" s="223">
        <v>7</v>
      </c>
      <c r="E2811" s="223">
        <v>72760</v>
      </c>
    </row>
    <row r="2812" spans="1:5" ht="15">
      <c r="A2812" s="223" t="s">
        <v>490</v>
      </c>
      <c r="B2812" s="223">
        <v>21</v>
      </c>
      <c r="C2812" s="223">
        <v>31</v>
      </c>
      <c r="D2812" s="223">
        <v>7</v>
      </c>
      <c r="E2812" s="223">
        <v>6600</v>
      </c>
    </row>
    <row r="2813" spans="1:5" ht="15">
      <c r="A2813" s="223" t="s">
        <v>490</v>
      </c>
      <c r="B2813" s="223">
        <v>21</v>
      </c>
      <c r="C2813" s="223">
        <v>31</v>
      </c>
      <c r="D2813" s="223">
        <v>8</v>
      </c>
      <c r="E2813" s="223">
        <v>200</v>
      </c>
    </row>
    <row r="2814" spans="1:5" ht="15">
      <c r="A2814" s="223" t="s">
        <v>490</v>
      </c>
      <c r="B2814" s="223">
        <v>21</v>
      </c>
      <c r="C2814" s="223">
        <v>32</v>
      </c>
      <c r="D2814" s="223">
        <v>5</v>
      </c>
      <c r="E2814" s="223">
        <v>35000</v>
      </c>
    </row>
    <row r="2815" spans="1:5" ht="15">
      <c r="A2815" s="223" t="s">
        <v>490</v>
      </c>
      <c r="B2815" s="223">
        <v>21</v>
      </c>
      <c r="C2815" s="223">
        <v>33</v>
      </c>
      <c r="D2815" s="223">
        <v>4</v>
      </c>
      <c r="E2815" s="223">
        <v>2000</v>
      </c>
    </row>
    <row r="2816" spans="1:5" ht="15">
      <c r="A2816" s="223" t="s">
        <v>490</v>
      </c>
      <c r="B2816" s="223">
        <v>24</v>
      </c>
      <c r="C2816" s="223">
        <v>27</v>
      </c>
      <c r="D2816" s="223">
        <v>3</v>
      </c>
      <c r="E2816" s="223">
        <v>132136</v>
      </c>
    </row>
    <row r="2817" spans="1:5" ht="15">
      <c r="A2817" s="223" t="s">
        <v>490</v>
      </c>
      <c r="B2817" s="223">
        <v>24</v>
      </c>
      <c r="C2817" s="223">
        <v>27</v>
      </c>
      <c r="D2817" s="223">
        <v>4</v>
      </c>
      <c r="E2817" s="223">
        <v>88162</v>
      </c>
    </row>
    <row r="2818" spans="1:5" ht="15">
      <c r="A2818" s="223" t="s">
        <v>492</v>
      </c>
      <c r="B2818" s="223">
        <v>21</v>
      </c>
      <c r="C2818" s="223">
        <v>21</v>
      </c>
      <c r="D2818" s="223">
        <v>2</v>
      </c>
      <c r="E2818" s="223">
        <v>1000</v>
      </c>
    </row>
    <row r="2819" spans="1:5" ht="15">
      <c r="A2819" s="223" t="s">
        <v>492</v>
      </c>
      <c r="B2819" s="223">
        <v>21</v>
      </c>
      <c r="C2819" s="223">
        <v>21</v>
      </c>
      <c r="D2819" s="223">
        <v>4</v>
      </c>
      <c r="E2819" s="223">
        <v>225</v>
      </c>
    </row>
    <row r="2820" spans="1:5" ht="15">
      <c r="A2820" s="223" t="s">
        <v>492</v>
      </c>
      <c r="B2820" s="223">
        <v>21</v>
      </c>
      <c r="C2820" s="223">
        <v>27</v>
      </c>
      <c r="D2820" s="223">
        <v>2</v>
      </c>
      <c r="E2820" s="223">
        <v>68541</v>
      </c>
    </row>
    <row r="2821" spans="1:5" ht="15">
      <c r="A2821" s="223" t="s">
        <v>492</v>
      </c>
      <c r="B2821" s="223">
        <v>21</v>
      </c>
      <c r="C2821" s="223">
        <v>27</v>
      </c>
      <c r="D2821" s="223">
        <v>3</v>
      </c>
      <c r="E2821" s="223">
        <v>10017</v>
      </c>
    </row>
    <row r="2822" spans="1:5" ht="15">
      <c r="A2822" s="223" t="s">
        <v>492</v>
      </c>
      <c r="B2822" s="223">
        <v>21</v>
      </c>
      <c r="C2822" s="223">
        <v>27</v>
      </c>
      <c r="D2822" s="223">
        <v>4</v>
      </c>
      <c r="E2822" s="223">
        <v>33681</v>
      </c>
    </row>
    <row r="2823" spans="1:5" ht="15">
      <c r="A2823" s="223" t="s">
        <v>492</v>
      </c>
      <c r="B2823" s="223">
        <v>21</v>
      </c>
      <c r="C2823" s="223">
        <v>27</v>
      </c>
      <c r="D2823" s="223">
        <v>5</v>
      </c>
      <c r="E2823" s="223">
        <v>1500</v>
      </c>
    </row>
    <row r="2824" spans="1:5" ht="15">
      <c r="A2824" s="223" t="s">
        <v>492</v>
      </c>
      <c r="B2824" s="223">
        <v>21</v>
      </c>
      <c r="C2824" s="223">
        <v>27</v>
      </c>
      <c r="D2824" s="223">
        <v>7</v>
      </c>
      <c r="E2824" s="223">
        <v>1100</v>
      </c>
    </row>
    <row r="2825" spans="1:5" ht="15">
      <c r="A2825" s="223" t="s">
        <v>492</v>
      </c>
      <c r="B2825" s="223">
        <v>21</v>
      </c>
      <c r="C2825" s="223">
        <v>27</v>
      </c>
      <c r="D2825" s="223">
        <v>8</v>
      </c>
      <c r="E2825" s="223">
        <v>500</v>
      </c>
    </row>
    <row r="2826" spans="1:5" ht="15">
      <c r="A2826" s="223" t="s">
        <v>492</v>
      </c>
      <c r="B2826" s="223">
        <v>21</v>
      </c>
      <c r="C2826" s="223">
        <v>33</v>
      </c>
      <c r="D2826" s="223">
        <v>5</v>
      </c>
      <c r="E2826" s="223">
        <v>500</v>
      </c>
    </row>
    <row r="2827" spans="1:5" ht="15">
      <c r="A2827" s="223" t="s">
        <v>494</v>
      </c>
      <c r="B2827" s="223">
        <v>21</v>
      </c>
      <c r="C2827" s="223">
        <v>21</v>
      </c>
      <c r="D2827" s="223">
        <v>2</v>
      </c>
      <c r="E2827" s="223">
        <v>49625</v>
      </c>
    </row>
    <row r="2828" spans="1:5" ht="15">
      <c r="A2828" s="223" t="s">
        <v>494</v>
      </c>
      <c r="B2828" s="223">
        <v>21</v>
      </c>
      <c r="C2828" s="223">
        <v>21</v>
      </c>
      <c r="D2828" s="223">
        <v>3</v>
      </c>
      <c r="E2828" s="223">
        <v>10673</v>
      </c>
    </row>
    <row r="2829" spans="1:5" ht="15">
      <c r="A2829" s="223" t="s">
        <v>494</v>
      </c>
      <c r="B2829" s="223">
        <v>21</v>
      </c>
      <c r="C2829" s="223">
        <v>21</v>
      </c>
      <c r="D2829" s="223">
        <v>4</v>
      </c>
      <c r="E2829" s="223">
        <v>20798</v>
      </c>
    </row>
    <row r="2830" spans="1:5" ht="15">
      <c r="A2830" s="223" t="s">
        <v>494</v>
      </c>
      <c r="B2830" s="223">
        <v>21</v>
      </c>
      <c r="C2830" s="223">
        <v>26</v>
      </c>
      <c r="D2830" s="223">
        <v>2</v>
      </c>
      <c r="E2830" s="223">
        <v>89776</v>
      </c>
    </row>
    <row r="2831" spans="1:5" ht="15">
      <c r="A2831" s="223" t="s">
        <v>494</v>
      </c>
      <c r="B2831" s="223">
        <v>21</v>
      </c>
      <c r="C2831" s="223">
        <v>26</v>
      </c>
      <c r="D2831" s="223">
        <v>4</v>
      </c>
      <c r="E2831" s="223">
        <v>32912</v>
      </c>
    </row>
    <row r="2832" spans="1:5" ht="15">
      <c r="A2832" s="223" t="s">
        <v>494</v>
      </c>
      <c r="B2832" s="223">
        <v>21</v>
      </c>
      <c r="C2832" s="223">
        <v>26</v>
      </c>
      <c r="D2832" s="223">
        <v>7</v>
      </c>
      <c r="E2832" s="223">
        <v>116200</v>
      </c>
    </row>
    <row r="2833" spans="1:5" ht="15">
      <c r="A2833" s="223" t="s">
        <v>494</v>
      </c>
      <c r="B2833" s="223">
        <v>21</v>
      </c>
      <c r="C2833" s="223">
        <v>27</v>
      </c>
      <c r="D2833" s="223">
        <v>2</v>
      </c>
      <c r="E2833" s="223">
        <v>253072</v>
      </c>
    </row>
    <row r="2834" spans="1:5" ht="15">
      <c r="A2834" s="223" t="s">
        <v>494</v>
      </c>
      <c r="B2834" s="223">
        <v>21</v>
      </c>
      <c r="C2834" s="223">
        <v>27</v>
      </c>
      <c r="D2834" s="223">
        <v>3</v>
      </c>
      <c r="E2834" s="223">
        <v>113092</v>
      </c>
    </row>
    <row r="2835" spans="1:5" ht="15">
      <c r="A2835" s="223" t="s">
        <v>494</v>
      </c>
      <c r="B2835" s="223">
        <v>21</v>
      </c>
      <c r="C2835" s="223">
        <v>27</v>
      </c>
      <c r="D2835" s="223">
        <v>4</v>
      </c>
      <c r="E2835" s="223">
        <v>172099</v>
      </c>
    </row>
    <row r="2836" spans="1:5" ht="15">
      <c r="A2836" s="223" t="s">
        <v>494</v>
      </c>
      <c r="B2836" s="223">
        <v>21</v>
      </c>
      <c r="C2836" s="223">
        <v>27</v>
      </c>
      <c r="D2836" s="223">
        <v>5</v>
      </c>
      <c r="E2836" s="223">
        <v>2000</v>
      </c>
    </row>
    <row r="2837" spans="1:5" ht="15">
      <c r="A2837" s="223" t="s">
        <v>494</v>
      </c>
      <c r="B2837" s="223">
        <v>21</v>
      </c>
      <c r="C2837" s="223">
        <v>31</v>
      </c>
      <c r="D2837" s="223">
        <v>2</v>
      </c>
      <c r="E2837" s="223">
        <v>5784</v>
      </c>
    </row>
    <row r="2838" spans="1:5" ht="15">
      <c r="A2838" s="223" t="s">
        <v>494</v>
      </c>
      <c r="B2838" s="223">
        <v>21</v>
      </c>
      <c r="C2838" s="223">
        <v>31</v>
      </c>
      <c r="D2838" s="223">
        <v>4</v>
      </c>
      <c r="E2838" s="223">
        <v>1332</v>
      </c>
    </row>
    <row r="2839" spans="1:5" ht="15">
      <c r="A2839" s="223" t="s">
        <v>494</v>
      </c>
      <c r="B2839" s="223">
        <v>21</v>
      </c>
      <c r="C2839" s="223">
        <v>34</v>
      </c>
      <c r="D2839" s="223">
        <v>2</v>
      </c>
      <c r="E2839" s="223">
        <v>6802</v>
      </c>
    </row>
    <row r="2840" spans="1:5" ht="15">
      <c r="A2840" s="223" t="s">
        <v>494</v>
      </c>
      <c r="B2840" s="223">
        <v>21</v>
      </c>
      <c r="C2840" s="223">
        <v>34</v>
      </c>
      <c r="D2840" s="223">
        <v>4</v>
      </c>
      <c r="E2840" s="223">
        <v>1682</v>
      </c>
    </row>
    <row r="2841" spans="1:5" ht="15">
      <c r="A2841" s="223" t="s">
        <v>494</v>
      </c>
      <c r="B2841" s="223">
        <v>24</v>
      </c>
      <c r="C2841" s="223">
        <v>21</v>
      </c>
      <c r="D2841" s="223">
        <v>5</v>
      </c>
      <c r="E2841" s="223">
        <v>2000</v>
      </c>
    </row>
    <row r="2842" spans="1:5" ht="15">
      <c r="A2842" s="223" t="s">
        <v>494</v>
      </c>
      <c r="B2842" s="223">
        <v>24</v>
      </c>
      <c r="C2842" s="223">
        <v>27</v>
      </c>
      <c r="D2842" s="223">
        <v>3</v>
      </c>
      <c r="E2842" s="223">
        <v>90685</v>
      </c>
    </row>
    <row r="2843" spans="1:5" ht="15">
      <c r="A2843" s="223" t="s">
        <v>494</v>
      </c>
      <c r="B2843" s="223">
        <v>24</v>
      </c>
      <c r="C2843" s="223">
        <v>27</v>
      </c>
      <c r="D2843" s="223">
        <v>4</v>
      </c>
      <c r="E2843" s="223">
        <v>57333</v>
      </c>
    </row>
    <row r="2844" spans="1:5" ht="15">
      <c r="A2844" s="223" t="s">
        <v>494</v>
      </c>
      <c r="B2844" s="223">
        <v>24</v>
      </c>
      <c r="C2844" s="223">
        <v>27</v>
      </c>
      <c r="D2844" s="223">
        <v>5</v>
      </c>
      <c r="E2844" s="223">
        <v>14297</v>
      </c>
    </row>
    <row r="2845" spans="1:5" ht="15">
      <c r="A2845" s="223" t="s">
        <v>494</v>
      </c>
      <c r="B2845" s="223">
        <v>24</v>
      </c>
      <c r="C2845" s="223">
        <v>31</v>
      </c>
      <c r="D2845" s="223">
        <v>7</v>
      </c>
      <c r="E2845" s="223">
        <v>500</v>
      </c>
    </row>
    <row r="2846" spans="1:5" ht="15">
      <c r="A2846" s="223" t="s">
        <v>494</v>
      </c>
      <c r="B2846" s="223">
        <v>24</v>
      </c>
      <c r="C2846" s="223">
        <v>31</v>
      </c>
      <c r="D2846" s="223">
        <v>8</v>
      </c>
      <c r="E2846" s="223">
        <v>540</v>
      </c>
    </row>
    <row r="2847" spans="1:5" ht="15">
      <c r="A2847" s="223" t="s">
        <v>494</v>
      </c>
      <c r="B2847" s="223">
        <v>24</v>
      </c>
      <c r="C2847" s="223">
        <v>32</v>
      </c>
      <c r="D2847" s="223">
        <v>9</v>
      </c>
      <c r="E2847" s="223">
        <v>2000</v>
      </c>
    </row>
    <row r="2848" spans="1:5" ht="15">
      <c r="A2848" s="223" t="s">
        <v>496</v>
      </c>
      <c r="B2848" s="223">
        <v>21</v>
      </c>
      <c r="C2848" s="223">
        <v>27</v>
      </c>
      <c r="D2848" s="223">
        <v>2</v>
      </c>
      <c r="E2848" s="223">
        <v>70026</v>
      </c>
    </row>
    <row r="2849" spans="1:5" ht="15">
      <c r="A2849" s="223" t="s">
        <v>496</v>
      </c>
      <c r="B2849" s="223">
        <v>21</v>
      </c>
      <c r="C2849" s="223">
        <v>27</v>
      </c>
      <c r="D2849" s="223">
        <v>3</v>
      </c>
      <c r="E2849" s="223">
        <v>51559</v>
      </c>
    </row>
    <row r="2850" spans="1:5" ht="15">
      <c r="A2850" s="223" t="s">
        <v>496</v>
      </c>
      <c r="B2850" s="223">
        <v>21</v>
      </c>
      <c r="C2850" s="223">
        <v>27</v>
      </c>
      <c r="D2850" s="223">
        <v>4</v>
      </c>
      <c r="E2850" s="223">
        <v>62649</v>
      </c>
    </row>
    <row r="2851" spans="1:5" ht="15">
      <c r="A2851" s="223" t="s">
        <v>496</v>
      </c>
      <c r="B2851" s="223">
        <v>21</v>
      </c>
      <c r="C2851" s="223">
        <v>27</v>
      </c>
      <c r="D2851" s="223">
        <v>5</v>
      </c>
      <c r="E2851" s="223">
        <v>1000</v>
      </c>
    </row>
    <row r="2852" spans="1:5" ht="15">
      <c r="A2852" s="223" t="s">
        <v>496</v>
      </c>
      <c r="B2852" s="223">
        <v>21</v>
      </c>
      <c r="C2852" s="223">
        <v>27</v>
      </c>
      <c r="D2852" s="223">
        <v>7</v>
      </c>
      <c r="E2852" s="223">
        <v>2200000</v>
      </c>
    </row>
    <row r="2853" spans="1:5" ht="15">
      <c r="A2853" s="223" t="s">
        <v>496</v>
      </c>
      <c r="B2853" s="223">
        <v>21</v>
      </c>
      <c r="C2853" s="223">
        <v>29</v>
      </c>
      <c r="D2853" s="223">
        <v>7</v>
      </c>
      <c r="E2853" s="223">
        <v>85000</v>
      </c>
    </row>
    <row r="2854" spans="1:5" ht="15">
      <c r="A2854" s="223" t="s">
        <v>496</v>
      </c>
      <c r="B2854" s="223">
        <v>21</v>
      </c>
      <c r="C2854" s="223">
        <v>31</v>
      </c>
      <c r="D2854" s="223">
        <v>2</v>
      </c>
      <c r="E2854" s="223">
        <v>1470</v>
      </c>
    </row>
    <row r="2855" spans="1:5" ht="15">
      <c r="A2855" s="223" t="s">
        <v>496</v>
      </c>
      <c r="B2855" s="223">
        <v>21</v>
      </c>
      <c r="C2855" s="223">
        <v>31</v>
      </c>
      <c r="D2855" s="223">
        <v>4</v>
      </c>
      <c r="E2855" s="223">
        <v>348</v>
      </c>
    </row>
    <row r="2856" spans="1:5" ht="15">
      <c r="A2856" s="223" t="s">
        <v>496</v>
      </c>
      <c r="B2856" s="223">
        <v>21</v>
      </c>
      <c r="C2856" s="223">
        <v>33</v>
      </c>
      <c r="D2856" s="223">
        <v>5</v>
      </c>
      <c r="E2856" s="223">
        <v>1500</v>
      </c>
    </row>
    <row r="2857" spans="1:5" ht="15">
      <c r="A2857" s="223" t="s">
        <v>496</v>
      </c>
      <c r="B2857" s="223">
        <v>21</v>
      </c>
      <c r="C2857" s="223">
        <v>34</v>
      </c>
      <c r="D2857" s="223">
        <v>2</v>
      </c>
      <c r="E2857" s="223">
        <v>1102</v>
      </c>
    </row>
    <row r="2858" spans="1:5" ht="15">
      <c r="A2858" s="223" t="s">
        <v>496</v>
      </c>
      <c r="B2858" s="223">
        <v>21</v>
      </c>
      <c r="C2858" s="223">
        <v>34</v>
      </c>
      <c r="D2858" s="223">
        <v>4</v>
      </c>
      <c r="E2858" s="223">
        <v>261</v>
      </c>
    </row>
    <row r="2859" spans="1:5" ht="15">
      <c r="A2859" s="223" t="s">
        <v>496</v>
      </c>
      <c r="B2859" s="223">
        <v>24</v>
      </c>
      <c r="C2859" s="223">
        <v>26</v>
      </c>
      <c r="D2859" s="223">
        <v>7</v>
      </c>
      <c r="E2859" s="223">
        <v>195581</v>
      </c>
    </row>
    <row r="2860" spans="1:5" ht="15">
      <c r="A2860" s="223" t="s">
        <v>496</v>
      </c>
      <c r="B2860" s="223">
        <v>24</v>
      </c>
      <c r="C2860" s="223">
        <v>27</v>
      </c>
      <c r="D2860" s="223">
        <v>5</v>
      </c>
      <c r="E2860" s="223">
        <v>10571</v>
      </c>
    </row>
    <row r="2861" spans="1:5" ht="15">
      <c r="A2861" s="223" t="s">
        <v>496</v>
      </c>
      <c r="B2861" s="223">
        <v>24</v>
      </c>
      <c r="C2861" s="223">
        <v>27</v>
      </c>
      <c r="D2861" s="223">
        <v>7</v>
      </c>
      <c r="E2861" s="223">
        <v>10571</v>
      </c>
    </row>
    <row r="2862" spans="1:5" ht="15">
      <c r="A2862" s="223" t="s">
        <v>497</v>
      </c>
      <c r="B2862" s="223">
        <v>21</v>
      </c>
      <c r="C2862" s="223">
        <v>21</v>
      </c>
      <c r="D2862" s="223">
        <v>2</v>
      </c>
      <c r="E2862" s="223">
        <v>3165</v>
      </c>
    </row>
    <row r="2863" spans="1:5" ht="15">
      <c r="A2863" s="223" t="s">
        <v>497</v>
      </c>
      <c r="B2863" s="223">
        <v>21</v>
      </c>
      <c r="C2863" s="223">
        <v>21</v>
      </c>
      <c r="D2863" s="223">
        <v>4</v>
      </c>
      <c r="E2863" s="223">
        <v>13027</v>
      </c>
    </row>
    <row r="2864" spans="1:5" ht="15">
      <c r="A2864" s="223" t="s">
        <v>497</v>
      </c>
      <c r="B2864" s="223">
        <v>21</v>
      </c>
      <c r="C2864" s="223">
        <v>21</v>
      </c>
      <c r="D2864" s="223">
        <v>5</v>
      </c>
      <c r="E2864" s="223">
        <v>100000</v>
      </c>
    </row>
    <row r="2865" spans="1:5" ht="15">
      <c r="A2865" s="223" t="s">
        <v>497</v>
      </c>
      <c r="B2865" s="223">
        <v>21</v>
      </c>
      <c r="C2865" s="223">
        <v>21</v>
      </c>
      <c r="D2865" s="223">
        <v>7</v>
      </c>
      <c r="E2865" s="223">
        <v>37500</v>
      </c>
    </row>
    <row r="2866" spans="1:5" ht="15">
      <c r="A2866" s="223" t="s">
        <v>497</v>
      </c>
      <c r="B2866" s="223">
        <v>21</v>
      </c>
      <c r="C2866" s="223">
        <v>23</v>
      </c>
      <c r="D2866" s="223">
        <v>5</v>
      </c>
      <c r="E2866" s="223">
        <v>450</v>
      </c>
    </row>
    <row r="2867" spans="1:5" ht="15">
      <c r="A2867" s="223" t="s">
        <v>497</v>
      </c>
      <c r="B2867" s="223">
        <v>21</v>
      </c>
      <c r="C2867" s="223">
        <v>26</v>
      </c>
      <c r="D2867" s="223">
        <v>5</v>
      </c>
      <c r="E2867" s="223">
        <v>7000</v>
      </c>
    </row>
    <row r="2868" spans="1:5" ht="15">
      <c r="A2868" s="223" t="s">
        <v>497</v>
      </c>
      <c r="B2868" s="223">
        <v>21</v>
      </c>
      <c r="C2868" s="223">
        <v>26</v>
      </c>
      <c r="D2868" s="223">
        <v>7</v>
      </c>
      <c r="E2868" s="223">
        <v>166807</v>
      </c>
    </row>
    <row r="2869" spans="1:5" ht="15">
      <c r="A2869" s="223" t="s">
        <v>497</v>
      </c>
      <c r="B2869" s="223">
        <v>21</v>
      </c>
      <c r="C2869" s="223">
        <v>27</v>
      </c>
      <c r="D2869" s="223">
        <v>2</v>
      </c>
      <c r="E2869" s="223">
        <v>166534</v>
      </c>
    </row>
    <row r="2870" spans="1:5" ht="15">
      <c r="A2870" s="223" t="s">
        <v>497</v>
      </c>
      <c r="B2870" s="223">
        <v>21</v>
      </c>
      <c r="C2870" s="223">
        <v>27</v>
      </c>
      <c r="D2870" s="223">
        <v>3</v>
      </c>
      <c r="E2870" s="223">
        <v>80139</v>
      </c>
    </row>
    <row r="2871" spans="1:5" ht="15">
      <c r="A2871" s="223" t="s">
        <v>497</v>
      </c>
      <c r="B2871" s="223">
        <v>21</v>
      </c>
      <c r="C2871" s="223">
        <v>27</v>
      </c>
      <c r="D2871" s="223">
        <v>4</v>
      </c>
      <c r="E2871" s="223">
        <v>128509</v>
      </c>
    </row>
    <row r="2872" spans="1:5" ht="15">
      <c r="A2872" s="223" t="s">
        <v>497</v>
      </c>
      <c r="B2872" s="223">
        <v>21</v>
      </c>
      <c r="C2872" s="223">
        <v>27</v>
      </c>
      <c r="D2872" s="223">
        <v>5</v>
      </c>
      <c r="E2872" s="223">
        <v>11000</v>
      </c>
    </row>
    <row r="2873" spans="1:5" ht="15">
      <c r="A2873" s="223" t="s">
        <v>497</v>
      </c>
      <c r="B2873" s="223">
        <v>21</v>
      </c>
      <c r="C2873" s="223">
        <v>27</v>
      </c>
      <c r="D2873" s="223">
        <v>7</v>
      </c>
      <c r="E2873" s="223">
        <v>2000</v>
      </c>
    </row>
    <row r="2874" spans="1:5" ht="15">
      <c r="A2874" s="223" t="s">
        <v>497</v>
      </c>
      <c r="B2874" s="223">
        <v>21</v>
      </c>
      <c r="C2874" s="223">
        <v>31</v>
      </c>
      <c r="D2874" s="223">
        <v>5</v>
      </c>
      <c r="E2874" s="223">
        <v>1327</v>
      </c>
    </row>
    <row r="2875" spans="1:5" ht="15">
      <c r="A2875" s="223" t="s">
        <v>497</v>
      </c>
      <c r="B2875" s="223">
        <v>21</v>
      </c>
      <c r="C2875" s="223">
        <v>31</v>
      </c>
      <c r="D2875" s="223">
        <v>8</v>
      </c>
      <c r="E2875" s="223">
        <v>5000</v>
      </c>
    </row>
    <row r="2876" spans="1:5" ht="15">
      <c r="A2876" s="223" t="s">
        <v>497</v>
      </c>
      <c r="B2876" s="223">
        <v>24</v>
      </c>
      <c r="C2876" s="223">
        <v>26</v>
      </c>
      <c r="D2876" s="223">
        <v>7</v>
      </c>
      <c r="E2876" s="223">
        <v>20000</v>
      </c>
    </row>
    <row r="2877" spans="1:5" ht="15">
      <c r="A2877" s="223" t="s">
        <v>497</v>
      </c>
      <c r="B2877" s="223">
        <v>24</v>
      </c>
      <c r="C2877" s="223">
        <v>27</v>
      </c>
      <c r="D2877" s="223">
        <v>3</v>
      </c>
      <c r="E2877" s="223">
        <v>23954</v>
      </c>
    </row>
    <row r="2878" spans="1:5" ht="15">
      <c r="A2878" s="223" t="s">
        <v>497</v>
      </c>
      <c r="B2878" s="223">
        <v>24</v>
      </c>
      <c r="C2878" s="223">
        <v>27</v>
      </c>
      <c r="D2878" s="223">
        <v>4</v>
      </c>
      <c r="E2878" s="223">
        <v>18533</v>
      </c>
    </row>
    <row r="2879" spans="1:5" ht="15">
      <c r="A2879" s="223" t="s">
        <v>497</v>
      </c>
      <c r="B2879" s="223">
        <v>24</v>
      </c>
      <c r="C2879" s="223">
        <v>27</v>
      </c>
      <c r="D2879" s="223">
        <v>5</v>
      </c>
      <c r="E2879" s="223">
        <v>30000</v>
      </c>
    </row>
    <row r="2880" spans="1:5" ht="15">
      <c r="A2880" s="223" t="s">
        <v>497</v>
      </c>
      <c r="B2880" s="223">
        <v>24</v>
      </c>
      <c r="C2880" s="223">
        <v>27</v>
      </c>
      <c r="D2880" s="223">
        <v>7</v>
      </c>
      <c r="E2880" s="223">
        <v>36651</v>
      </c>
    </row>
    <row r="2881" spans="1:5" ht="15">
      <c r="A2881" s="223" t="s">
        <v>497</v>
      </c>
      <c r="B2881" s="223">
        <v>29</v>
      </c>
      <c r="C2881" s="223">
        <v>27</v>
      </c>
      <c r="D2881" s="223">
        <v>7</v>
      </c>
      <c r="E2881" s="223">
        <v>1000</v>
      </c>
    </row>
    <row r="2882" spans="1:5" ht="15">
      <c r="A2882" s="223" t="s">
        <v>499</v>
      </c>
      <c r="B2882" s="223">
        <v>21</v>
      </c>
      <c r="C2882" s="223">
        <v>21</v>
      </c>
      <c r="D2882" s="223">
        <v>0</v>
      </c>
      <c r="E2882" s="223">
        <v>9521</v>
      </c>
    </row>
    <row r="2883" spans="1:5" ht="15">
      <c r="A2883" s="223" t="s">
        <v>499</v>
      </c>
      <c r="B2883" s="223">
        <v>21</v>
      </c>
      <c r="C2883" s="223">
        <v>21</v>
      </c>
      <c r="D2883" s="223">
        <v>2</v>
      </c>
      <c r="E2883" s="223">
        <v>389365</v>
      </c>
    </row>
    <row r="2884" spans="1:5" ht="15">
      <c r="A2884" s="223" t="s">
        <v>499</v>
      </c>
      <c r="B2884" s="223">
        <v>21</v>
      </c>
      <c r="C2884" s="223">
        <v>21</v>
      </c>
      <c r="D2884" s="223">
        <v>3</v>
      </c>
      <c r="E2884" s="223">
        <v>266400</v>
      </c>
    </row>
    <row r="2885" spans="1:5" ht="15">
      <c r="A2885" s="223" t="s">
        <v>499</v>
      </c>
      <c r="B2885" s="223">
        <v>21</v>
      </c>
      <c r="C2885" s="223">
        <v>21</v>
      </c>
      <c r="D2885" s="223">
        <v>4</v>
      </c>
      <c r="E2885" s="223">
        <v>220267</v>
      </c>
    </row>
    <row r="2886" spans="1:5" ht="15">
      <c r="A2886" s="223" t="s">
        <v>499</v>
      </c>
      <c r="B2886" s="223">
        <v>21</v>
      </c>
      <c r="C2886" s="223">
        <v>21</v>
      </c>
      <c r="D2886" s="223">
        <v>5</v>
      </c>
      <c r="E2886" s="223">
        <v>6000</v>
      </c>
    </row>
    <row r="2887" spans="1:5" ht="15">
      <c r="A2887" s="223" t="s">
        <v>499</v>
      </c>
      <c r="B2887" s="223">
        <v>21</v>
      </c>
      <c r="C2887" s="223">
        <v>21</v>
      </c>
      <c r="D2887" s="223">
        <v>7</v>
      </c>
      <c r="E2887" s="223">
        <v>2300</v>
      </c>
    </row>
    <row r="2888" spans="1:5" ht="15">
      <c r="A2888" s="223" t="s">
        <v>499</v>
      </c>
      <c r="B2888" s="223">
        <v>21</v>
      </c>
      <c r="C2888" s="223">
        <v>24</v>
      </c>
      <c r="D2888" s="223">
        <v>0</v>
      </c>
      <c r="E2888" s="223">
        <v>10</v>
      </c>
    </row>
    <row r="2889" spans="1:5" ht="15">
      <c r="A2889" s="223" t="s">
        <v>499</v>
      </c>
      <c r="B2889" s="223">
        <v>21</v>
      </c>
      <c r="C2889" s="223">
        <v>24</v>
      </c>
      <c r="D2889" s="223">
        <v>2</v>
      </c>
      <c r="E2889" s="223">
        <v>403056</v>
      </c>
    </row>
    <row r="2890" spans="1:5" ht="15">
      <c r="A2890" s="223" t="s">
        <v>499</v>
      </c>
      <c r="B2890" s="223">
        <v>21</v>
      </c>
      <c r="C2890" s="223">
        <v>24</v>
      </c>
      <c r="D2890" s="223">
        <v>4</v>
      </c>
      <c r="E2890" s="223">
        <v>125538</v>
      </c>
    </row>
    <row r="2891" spans="1:5" ht="15">
      <c r="A2891" s="223" t="s">
        <v>499</v>
      </c>
      <c r="B2891" s="223">
        <v>21</v>
      </c>
      <c r="C2891" s="223">
        <v>24</v>
      </c>
      <c r="D2891" s="223">
        <v>5</v>
      </c>
      <c r="E2891" s="223">
        <v>210</v>
      </c>
    </row>
    <row r="2892" spans="1:5" ht="15">
      <c r="A2892" s="223" t="s">
        <v>499</v>
      </c>
      <c r="B2892" s="223">
        <v>21</v>
      </c>
      <c r="C2892" s="223">
        <v>24</v>
      </c>
      <c r="D2892" s="223">
        <v>7</v>
      </c>
      <c r="E2892" s="223">
        <v>100</v>
      </c>
    </row>
    <row r="2893" spans="1:5" ht="15">
      <c r="A2893" s="223" t="s">
        <v>499</v>
      </c>
      <c r="B2893" s="223">
        <v>21</v>
      </c>
      <c r="C2893" s="223">
        <v>24</v>
      </c>
      <c r="D2893" s="223">
        <v>8</v>
      </c>
      <c r="E2893" s="223">
        <v>150</v>
      </c>
    </row>
    <row r="2894" spans="1:5" ht="15">
      <c r="A2894" s="223" t="s">
        <v>499</v>
      </c>
      <c r="B2894" s="223">
        <v>21</v>
      </c>
      <c r="C2894" s="223">
        <v>25</v>
      </c>
      <c r="D2894" s="223">
        <v>3</v>
      </c>
      <c r="E2894" s="223">
        <v>57635</v>
      </c>
    </row>
    <row r="2895" spans="1:5" ht="15">
      <c r="A2895" s="223" t="s">
        <v>499</v>
      </c>
      <c r="B2895" s="223">
        <v>21</v>
      </c>
      <c r="C2895" s="223">
        <v>25</v>
      </c>
      <c r="D2895" s="223">
        <v>4</v>
      </c>
      <c r="E2895" s="223">
        <v>28351</v>
      </c>
    </row>
    <row r="2896" spans="1:5" ht="15">
      <c r="A2896" s="223" t="s">
        <v>499</v>
      </c>
      <c r="B2896" s="223">
        <v>21</v>
      </c>
      <c r="C2896" s="223">
        <v>25</v>
      </c>
      <c r="D2896" s="223">
        <v>5</v>
      </c>
      <c r="E2896" s="223">
        <v>5500</v>
      </c>
    </row>
    <row r="2897" spans="1:5" ht="15">
      <c r="A2897" s="223" t="s">
        <v>499</v>
      </c>
      <c r="B2897" s="223">
        <v>21</v>
      </c>
      <c r="C2897" s="223">
        <v>25</v>
      </c>
      <c r="D2897" s="223">
        <v>7</v>
      </c>
      <c r="E2897" s="223">
        <v>1500</v>
      </c>
    </row>
    <row r="2898" spans="1:5" ht="15">
      <c r="A2898" s="223" t="s">
        <v>499</v>
      </c>
      <c r="B2898" s="223">
        <v>21</v>
      </c>
      <c r="C2898" s="223">
        <v>26</v>
      </c>
      <c r="D2898" s="223">
        <v>0</v>
      </c>
      <c r="E2898" s="223">
        <v>65</v>
      </c>
    </row>
    <row r="2899" spans="1:5" ht="15">
      <c r="A2899" s="223" t="s">
        <v>499</v>
      </c>
      <c r="B2899" s="223">
        <v>21</v>
      </c>
      <c r="C2899" s="223">
        <v>26</v>
      </c>
      <c r="D2899" s="223">
        <v>2</v>
      </c>
      <c r="E2899" s="223">
        <v>5148888</v>
      </c>
    </row>
    <row r="2900" spans="1:5" ht="15">
      <c r="A2900" s="223" t="s">
        <v>499</v>
      </c>
      <c r="B2900" s="223">
        <v>21</v>
      </c>
      <c r="C2900" s="223">
        <v>26</v>
      </c>
      <c r="D2900" s="223">
        <v>3</v>
      </c>
      <c r="E2900" s="223">
        <v>67462</v>
      </c>
    </row>
    <row r="2901" spans="1:5" ht="15">
      <c r="A2901" s="223" t="s">
        <v>499</v>
      </c>
      <c r="B2901" s="223">
        <v>21</v>
      </c>
      <c r="C2901" s="223">
        <v>26</v>
      </c>
      <c r="D2901" s="223">
        <v>4</v>
      </c>
      <c r="E2901" s="223">
        <v>1797027</v>
      </c>
    </row>
    <row r="2902" spans="1:5" ht="15">
      <c r="A2902" s="223" t="s">
        <v>499</v>
      </c>
      <c r="B2902" s="223">
        <v>21</v>
      </c>
      <c r="C2902" s="223">
        <v>26</v>
      </c>
      <c r="D2902" s="223">
        <v>5</v>
      </c>
      <c r="E2902" s="223">
        <v>41000</v>
      </c>
    </row>
    <row r="2903" spans="1:5" ht="15">
      <c r="A2903" s="223" t="s">
        <v>499</v>
      </c>
      <c r="B2903" s="223">
        <v>21</v>
      </c>
      <c r="C2903" s="223">
        <v>26</v>
      </c>
      <c r="D2903" s="223">
        <v>7</v>
      </c>
      <c r="E2903" s="223">
        <v>519141</v>
      </c>
    </row>
    <row r="2904" spans="1:5" ht="15">
      <c r="A2904" s="223" t="s">
        <v>499</v>
      </c>
      <c r="B2904" s="223">
        <v>21</v>
      </c>
      <c r="C2904" s="223">
        <v>26</v>
      </c>
      <c r="D2904" s="223">
        <v>8</v>
      </c>
      <c r="E2904" s="223">
        <v>1400</v>
      </c>
    </row>
    <row r="2905" spans="1:5" ht="15">
      <c r="A2905" s="223" t="s">
        <v>499</v>
      </c>
      <c r="B2905" s="223">
        <v>21</v>
      </c>
      <c r="C2905" s="223">
        <v>27</v>
      </c>
      <c r="D2905" s="223">
        <v>0</v>
      </c>
      <c r="E2905" s="223">
        <v>10700</v>
      </c>
    </row>
    <row r="2906" spans="1:5" ht="15">
      <c r="A2906" s="223" t="s">
        <v>499</v>
      </c>
      <c r="B2906" s="223">
        <v>21</v>
      </c>
      <c r="C2906" s="223">
        <v>27</v>
      </c>
      <c r="D2906" s="223">
        <v>2</v>
      </c>
      <c r="E2906" s="223">
        <v>8471154</v>
      </c>
    </row>
    <row r="2907" spans="1:5" ht="15">
      <c r="A2907" s="223" t="s">
        <v>499</v>
      </c>
      <c r="B2907" s="223">
        <v>21</v>
      </c>
      <c r="C2907" s="223">
        <v>27</v>
      </c>
      <c r="D2907" s="223">
        <v>3</v>
      </c>
      <c r="E2907" s="223">
        <v>1380557</v>
      </c>
    </row>
    <row r="2908" spans="1:5" ht="15">
      <c r="A2908" s="223" t="s">
        <v>499</v>
      </c>
      <c r="B2908" s="223">
        <v>21</v>
      </c>
      <c r="C2908" s="223">
        <v>27</v>
      </c>
      <c r="D2908" s="223">
        <v>4</v>
      </c>
      <c r="E2908" s="223">
        <v>3765815</v>
      </c>
    </row>
    <row r="2909" spans="1:5" ht="15">
      <c r="A2909" s="223" t="s">
        <v>499</v>
      </c>
      <c r="B2909" s="223">
        <v>21</v>
      </c>
      <c r="C2909" s="223">
        <v>27</v>
      </c>
      <c r="D2909" s="223">
        <v>5</v>
      </c>
      <c r="E2909" s="223">
        <v>95964</v>
      </c>
    </row>
    <row r="2910" spans="1:5" ht="15">
      <c r="A2910" s="223" t="s">
        <v>499</v>
      </c>
      <c r="B2910" s="223">
        <v>21</v>
      </c>
      <c r="C2910" s="223">
        <v>27</v>
      </c>
      <c r="D2910" s="223">
        <v>7</v>
      </c>
      <c r="E2910" s="223">
        <v>787091</v>
      </c>
    </row>
    <row r="2911" spans="1:5" ht="15">
      <c r="A2911" s="223" t="s">
        <v>499</v>
      </c>
      <c r="B2911" s="223">
        <v>21</v>
      </c>
      <c r="C2911" s="223">
        <v>27</v>
      </c>
      <c r="D2911" s="223">
        <v>8</v>
      </c>
      <c r="E2911" s="223">
        <v>196</v>
      </c>
    </row>
    <row r="2912" spans="1:5" ht="15">
      <c r="A2912" s="223" t="s">
        <v>499</v>
      </c>
      <c r="B2912" s="223">
        <v>21</v>
      </c>
      <c r="C2912" s="223">
        <v>31</v>
      </c>
      <c r="D2912" s="223">
        <v>2</v>
      </c>
      <c r="E2912" s="223">
        <v>1099</v>
      </c>
    </row>
    <row r="2913" spans="1:5" ht="15">
      <c r="A2913" s="223" t="s">
        <v>499</v>
      </c>
      <c r="B2913" s="223">
        <v>21</v>
      </c>
      <c r="C2913" s="223">
        <v>31</v>
      </c>
      <c r="D2913" s="223">
        <v>4</v>
      </c>
      <c r="E2913" s="223">
        <v>244</v>
      </c>
    </row>
    <row r="2914" spans="1:5" ht="15">
      <c r="A2914" s="223" t="s">
        <v>499</v>
      </c>
      <c r="B2914" s="223">
        <v>21</v>
      </c>
      <c r="C2914" s="223">
        <v>31</v>
      </c>
      <c r="D2914" s="223">
        <v>7</v>
      </c>
      <c r="E2914" s="223">
        <v>20055</v>
      </c>
    </row>
    <row r="2915" spans="1:5" ht="15">
      <c r="A2915" s="223" t="s">
        <v>499</v>
      </c>
      <c r="B2915" s="223">
        <v>21</v>
      </c>
      <c r="C2915" s="223">
        <v>34</v>
      </c>
      <c r="D2915" s="223">
        <v>2</v>
      </c>
      <c r="E2915" s="223">
        <v>210414</v>
      </c>
    </row>
    <row r="2916" spans="1:5" ht="15">
      <c r="A2916" s="223" t="s">
        <v>499</v>
      </c>
      <c r="B2916" s="223">
        <v>21</v>
      </c>
      <c r="C2916" s="223">
        <v>34</v>
      </c>
      <c r="D2916" s="223">
        <v>4</v>
      </c>
      <c r="E2916" s="223">
        <v>45609</v>
      </c>
    </row>
    <row r="2917" spans="1:5" ht="15">
      <c r="A2917" s="223" t="s">
        <v>499</v>
      </c>
      <c r="B2917" s="223">
        <v>23</v>
      </c>
      <c r="C2917" s="223">
        <v>27</v>
      </c>
      <c r="D2917" s="223">
        <v>2</v>
      </c>
      <c r="E2917" s="223">
        <v>83243</v>
      </c>
    </row>
    <row r="2918" spans="1:5" ht="15">
      <c r="A2918" s="223" t="s">
        <v>499</v>
      </c>
      <c r="B2918" s="223">
        <v>23</v>
      </c>
      <c r="C2918" s="223">
        <v>27</v>
      </c>
      <c r="D2918" s="223">
        <v>3</v>
      </c>
      <c r="E2918" s="223">
        <v>36654</v>
      </c>
    </row>
    <row r="2919" spans="1:5" ht="15">
      <c r="A2919" s="223" t="s">
        <v>499</v>
      </c>
      <c r="B2919" s="223">
        <v>23</v>
      </c>
      <c r="C2919" s="223">
        <v>27</v>
      </c>
      <c r="D2919" s="223">
        <v>4</v>
      </c>
      <c r="E2919" s="223">
        <v>40911</v>
      </c>
    </row>
    <row r="2920" spans="1:5" ht="15">
      <c r="A2920" s="223" t="s">
        <v>499</v>
      </c>
      <c r="B2920" s="223">
        <v>23</v>
      </c>
      <c r="C2920" s="223">
        <v>27</v>
      </c>
      <c r="D2920" s="223">
        <v>5</v>
      </c>
      <c r="E2920" s="223">
        <v>13753</v>
      </c>
    </row>
    <row r="2921" spans="1:5" ht="15">
      <c r="A2921" s="223" t="s">
        <v>499</v>
      </c>
      <c r="B2921" s="223">
        <v>24</v>
      </c>
      <c r="C2921" s="223">
        <v>21</v>
      </c>
      <c r="D2921" s="223">
        <v>2</v>
      </c>
      <c r="E2921" s="223">
        <v>145640</v>
      </c>
    </row>
    <row r="2922" spans="1:5" ht="15">
      <c r="A2922" s="223" t="s">
        <v>499</v>
      </c>
      <c r="B2922" s="223">
        <v>24</v>
      </c>
      <c r="C2922" s="223">
        <v>21</v>
      </c>
      <c r="D2922" s="223">
        <v>4</v>
      </c>
      <c r="E2922" s="223">
        <v>25903</v>
      </c>
    </row>
    <row r="2923" spans="1:5" ht="15">
      <c r="A2923" s="223" t="s">
        <v>499</v>
      </c>
      <c r="B2923" s="223">
        <v>24</v>
      </c>
      <c r="C2923" s="223">
        <v>27</v>
      </c>
      <c r="D2923" s="223">
        <v>3</v>
      </c>
      <c r="E2923" s="223">
        <v>1544048</v>
      </c>
    </row>
    <row r="2924" spans="1:5" ht="15">
      <c r="A2924" s="223" t="s">
        <v>499</v>
      </c>
      <c r="B2924" s="223">
        <v>24</v>
      </c>
      <c r="C2924" s="223">
        <v>27</v>
      </c>
      <c r="D2924" s="223">
        <v>4</v>
      </c>
      <c r="E2924" s="223">
        <v>640121</v>
      </c>
    </row>
    <row r="2925" spans="1:5" ht="15">
      <c r="A2925" s="223" t="s">
        <v>499</v>
      </c>
      <c r="B2925" s="223">
        <v>24</v>
      </c>
      <c r="C2925" s="223">
        <v>27</v>
      </c>
      <c r="D2925" s="223">
        <v>7</v>
      </c>
      <c r="E2925" s="223">
        <v>520352</v>
      </c>
    </row>
    <row r="2926" spans="1:5" ht="15">
      <c r="A2926" s="223" t="s">
        <v>499</v>
      </c>
      <c r="B2926" s="223">
        <v>24</v>
      </c>
      <c r="C2926" s="223">
        <v>29</v>
      </c>
      <c r="D2926" s="223">
        <v>7</v>
      </c>
      <c r="E2926" s="223">
        <v>182530</v>
      </c>
    </row>
    <row r="2927" spans="1:5" ht="15">
      <c r="A2927" s="223" t="s">
        <v>499</v>
      </c>
      <c r="B2927" s="223">
        <v>24</v>
      </c>
      <c r="C2927" s="223">
        <v>31</v>
      </c>
      <c r="D2927" s="223">
        <v>2</v>
      </c>
      <c r="E2927" s="223">
        <v>1200</v>
      </c>
    </row>
    <row r="2928" spans="1:5" ht="15">
      <c r="A2928" s="223" t="s">
        <v>499</v>
      </c>
      <c r="B2928" s="223">
        <v>24</v>
      </c>
      <c r="C2928" s="223">
        <v>31</v>
      </c>
      <c r="D2928" s="223">
        <v>4</v>
      </c>
      <c r="E2928" s="223">
        <v>259</v>
      </c>
    </row>
    <row r="2929" spans="1:5" ht="15">
      <c r="A2929" s="223" t="s">
        <v>499</v>
      </c>
      <c r="B2929" s="223">
        <v>24</v>
      </c>
      <c r="C2929" s="223">
        <v>31</v>
      </c>
      <c r="D2929" s="223">
        <v>5</v>
      </c>
      <c r="E2929" s="223">
        <v>826</v>
      </c>
    </row>
    <row r="2930" spans="1:5" ht="15">
      <c r="A2930" s="223" t="s">
        <v>499</v>
      </c>
      <c r="B2930" s="223">
        <v>24</v>
      </c>
      <c r="C2930" s="223">
        <v>31</v>
      </c>
      <c r="D2930" s="223">
        <v>7</v>
      </c>
      <c r="E2930" s="223">
        <v>112863</v>
      </c>
    </row>
    <row r="2931" spans="1:5" ht="15">
      <c r="A2931" s="223" t="s">
        <v>499</v>
      </c>
      <c r="B2931" s="223">
        <v>24</v>
      </c>
      <c r="C2931" s="223">
        <v>33</v>
      </c>
      <c r="D2931" s="223">
        <v>5</v>
      </c>
      <c r="E2931" s="223">
        <v>4817</v>
      </c>
    </row>
    <row r="2932" spans="1:5" ht="15">
      <c r="A2932" s="223" t="s">
        <v>499</v>
      </c>
      <c r="B2932" s="223">
        <v>29</v>
      </c>
      <c r="C2932" s="223">
        <v>27</v>
      </c>
      <c r="D2932" s="223">
        <v>3</v>
      </c>
      <c r="E2932" s="223">
        <v>46463</v>
      </c>
    </row>
    <row r="2933" spans="1:5" ht="15">
      <c r="A2933" s="223" t="s">
        <v>499</v>
      </c>
      <c r="B2933" s="223">
        <v>29</v>
      </c>
      <c r="C2933" s="223">
        <v>27</v>
      </c>
      <c r="D2933" s="223">
        <v>4</v>
      </c>
      <c r="E2933" s="223">
        <v>28389</v>
      </c>
    </row>
    <row r="2934" spans="1:5" ht="15">
      <c r="A2934" s="223" t="s">
        <v>499</v>
      </c>
      <c r="B2934" s="223">
        <v>29</v>
      </c>
      <c r="C2934" s="223">
        <v>27</v>
      </c>
      <c r="D2934" s="223">
        <v>5</v>
      </c>
      <c r="E2934" s="223">
        <v>112221</v>
      </c>
    </row>
    <row r="2935" spans="1:5" ht="15">
      <c r="A2935" s="223" t="s">
        <v>38</v>
      </c>
      <c r="B2935" s="223">
        <v>21</v>
      </c>
      <c r="C2935" s="223">
        <v>21</v>
      </c>
      <c r="D2935" s="223">
        <v>3</v>
      </c>
      <c r="E2935" s="223">
        <v>23537</v>
      </c>
    </row>
    <row r="2936" spans="1:5" ht="15">
      <c r="A2936" s="223" t="s">
        <v>38</v>
      </c>
      <c r="B2936" s="223">
        <v>21</v>
      </c>
      <c r="C2936" s="223">
        <v>21</v>
      </c>
      <c r="D2936" s="223">
        <v>4</v>
      </c>
      <c r="E2936" s="223">
        <v>11168</v>
      </c>
    </row>
    <row r="2937" spans="1:5" ht="15">
      <c r="A2937" s="223" t="s">
        <v>38</v>
      </c>
      <c r="B2937" s="223">
        <v>21</v>
      </c>
      <c r="C2937" s="223">
        <v>26</v>
      </c>
      <c r="D2937" s="223">
        <v>7</v>
      </c>
      <c r="E2937" s="223">
        <v>170000</v>
      </c>
    </row>
    <row r="2938" spans="1:5" ht="15">
      <c r="A2938" s="223" t="s">
        <v>38</v>
      </c>
      <c r="B2938" s="223">
        <v>21</v>
      </c>
      <c r="C2938" s="223">
        <v>27</v>
      </c>
      <c r="D2938" s="223">
        <v>2</v>
      </c>
      <c r="E2938" s="223">
        <v>173082</v>
      </c>
    </row>
    <row r="2939" spans="1:5" ht="15">
      <c r="A2939" s="223" t="s">
        <v>38</v>
      </c>
      <c r="B2939" s="223">
        <v>21</v>
      </c>
      <c r="C2939" s="223">
        <v>27</v>
      </c>
      <c r="D2939" s="223">
        <v>3</v>
      </c>
      <c r="E2939" s="223">
        <v>157697</v>
      </c>
    </row>
    <row r="2940" spans="1:5" ht="15">
      <c r="A2940" s="223" t="s">
        <v>38</v>
      </c>
      <c r="B2940" s="223">
        <v>21</v>
      </c>
      <c r="C2940" s="223">
        <v>27</v>
      </c>
      <c r="D2940" s="223">
        <v>4</v>
      </c>
      <c r="E2940" s="223">
        <v>155834</v>
      </c>
    </row>
    <row r="2941" spans="1:5" ht="15">
      <c r="A2941" s="223" t="s">
        <v>38</v>
      </c>
      <c r="B2941" s="223">
        <v>21</v>
      </c>
      <c r="C2941" s="223">
        <v>27</v>
      </c>
      <c r="D2941" s="223">
        <v>5</v>
      </c>
      <c r="E2941" s="223">
        <v>1250</v>
      </c>
    </row>
    <row r="2942" spans="1:5" ht="15">
      <c r="A2942" s="223" t="s">
        <v>38</v>
      </c>
      <c r="B2942" s="223">
        <v>21</v>
      </c>
      <c r="C2942" s="223">
        <v>27</v>
      </c>
      <c r="D2942" s="223">
        <v>7</v>
      </c>
      <c r="E2942" s="223">
        <v>5000</v>
      </c>
    </row>
    <row r="2943" spans="1:5" ht="15">
      <c r="A2943" s="223" t="s">
        <v>38</v>
      </c>
      <c r="B2943" s="223">
        <v>24</v>
      </c>
      <c r="C2943" s="223">
        <v>26</v>
      </c>
      <c r="D2943" s="223">
        <v>7</v>
      </c>
      <c r="E2943" s="223">
        <v>57250</v>
      </c>
    </row>
    <row r="2944" spans="1:5" ht="15">
      <c r="A2944" s="223" t="s">
        <v>38</v>
      </c>
      <c r="B2944" s="223">
        <v>24</v>
      </c>
      <c r="C2944" s="223">
        <v>27</v>
      </c>
      <c r="D2944" s="223">
        <v>3</v>
      </c>
      <c r="E2944" s="223">
        <v>2223</v>
      </c>
    </row>
    <row r="2945" spans="1:5" ht="15">
      <c r="A2945" s="223" t="s">
        <v>38</v>
      </c>
      <c r="B2945" s="223">
        <v>24</v>
      </c>
      <c r="C2945" s="223">
        <v>27</v>
      </c>
      <c r="D2945" s="223">
        <v>4</v>
      </c>
      <c r="E2945" s="223">
        <v>1331</v>
      </c>
    </row>
    <row r="2946" spans="1:5" ht="15">
      <c r="A2946" s="223" t="s">
        <v>38</v>
      </c>
      <c r="B2946" s="223">
        <v>24</v>
      </c>
      <c r="C2946" s="223">
        <v>27</v>
      </c>
      <c r="D2946" s="223">
        <v>5</v>
      </c>
      <c r="E2946" s="223">
        <v>10</v>
      </c>
    </row>
    <row r="2947" spans="1:5" ht="15">
      <c r="A2947" s="223" t="s">
        <v>39</v>
      </c>
      <c r="B2947" s="223">
        <v>21</v>
      </c>
      <c r="C2947" s="223">
        <v>21</v>
      </c>
      <c r="D2947" s="223">
        <v>2</v>
      </c>
      <c r="E2947" s="223">
        <v>148124</v>
      </c>
    </row>
    <row r="2948" spans="1:5" ht="15">
      <c r="A2948" s="223" t="s">
        <v>39</v>
      </c>
      <c r="B2948" s="223">
        <v>21</v>
      </c>
      <c r="C2948" s="223">
        <v>21</v>
      </c>
      <c r="D2948" s="223">
        <v>3</v>
      </c>
      <c r="E2948" s="223">
        <v>7532</v>
      </c>
    </row>
    <row r="2949" spans="1:5" ht="15">
      <c r="A2949" s="223" t="s">
        <v>39</v>
      </c>
      <c r="B2949" s="223">
        <v>21</v>
      </c>
      <c r="C2949" s="223">
        <v>21</v>
      </c>
      <c r="D2949" s="223">
        <v>4</v>
      </c>
      <c r="E2949" s="223">
        <v>47968</v>
      </c>
    </row>
    <row r="2950" spans="1:5" ht="15">
      <c r="A2950" s="223" t="s">
        <v>39</v>
      </c>
      <c r="B2950" s="223">
        <v>21</v>
      </c>
      <c r="C2950" s="223">
        <v>21</v>
      </c>
      <c r="D2950" s="223">
        <v>5</v>
      </c>
      <c r="E2950" s="223">
        <v>24300</v>
      </c>
    </row>
    <row r="2951" spans="1:5" ht="15">
      <c r="A2951" s="223" t="s">
        <v>39</v>
      </c>
      <c r="B2951" s="223">
        <v>21</v>
      </c>
      <c r="C2951" s="223">
        <v>21</v>
      </c>
      <c r="D2951" s="223">
        <v>7</v>
      </c>
      <c r="E2951" s="223">
        <v>16000</v>
      </c>
    </row>
    <row r="2952" spans="1:5" ht="15">
      <c r="A2952" s="223" t="s">
        <v>39</v>
      </c>
      <c r="B2952" s="223">
        <v>21</v>
      </c>
      <c r="C2952" s="223">
        <v>24</v>
      </c>
      <c r="D2952" s="223">
        <v>2</v>
      </c>
      <c r="E2952" s="223">
        <v>56155</v>
      </c>
    </row>
    <row r="2953" spans="1:5" ht="15">
      <c r="A2953" s="223" t="s">
        <v>39</v>
      </c>
      <c r="B2953" s="223">
        <v>21</v>
      </c>
      <c r="C2953" s="223">
        <v>24</v>
      </c>
      <c r="D2953" s="223">
        <v>4</v>
      </c>
      <c r="E2953" s="223">
        <v>12469</v>
      </c>
    </row>
    <row r="2954" spans="1:5" ht="15">
      <c r="A2954" s="223" t="s">
        <v>39</v>
      </c>
      <c r="B2954" s="223">
        <v>21</v>
      </c>
      <c r="C2954" s="223">
        <v>24</v>
      </c>
      <c r="D2954" s="223">
        <v>5</v>
      </c>
      <c r="E2954" s="223">
        <v>1700</v>
      </c>
    </row>
    <row r="2955" spans="1:5" ht="15">
      <c r="A2955" s="223" t="s">
        <v>39</v>
      </c>
      <c r="B2955" s="223">
        <v>21</v>
      </c>
      <c r="C2955" s="223">
        <v>26</v>
      </c>
      <c r="D2955" s="223">
        <v>2</v>
      </c>
      <c r="E2955" s="223">
        <v>3612678</v>
      </c>
    </row>
    <row r="2956" spans="1:5" ht="15">
      <c r="A2956" s="223" t="s">
        <v>39</v>
      </c>
      <c r="B2956" s="223">
        <v>21</v>
      </c>
      <c r="C2956" s="223">
        <v>26</v>
      </c>
      <c r="D2956" s="223">
        <v>3</v>
      </c>
      <c r="E2956" s="223">
        <v>142068</v>
      </c>
    </row>
    <row r="2957" spans="1:5" ht="15">
      <c r="A2957" s="223" t="s">
        <v>39</v>
      </c>
      <c r="B2957" s="223">
        <v>21</v>
      </c>
      <c r="C2957" s="223">
        <v>26</v>
      </c>
      <c r="D2957" s="223">
        <v>4</v>
      </c>
      <c r="E2957" s="223">
        <v>1388547</v>
      </c>
    </row>
    <row r="2958" spans="1:5" ht="15">
      <c r="A2958" s="223" t="s">
        <v>39</v>
      </c>
      <c r="B2958" s="223">
        <v>21</v>
      </c>
      <c r="C2958" s="223">
        <v>26</v>
      </c>
      <c r="D2958" s="223">
        <v>5</v>
      </c>
      <c r="E2958" s="223">
        <v>19750</v>
      </c>
    </row>
    <row r="2959" spans="1:5" ht="15">
      <c r="A2959" s="223" t="s">
        <v>39</v>
      </c>
      <c r="B2959" s="223">
        <v>21</v>
      </c>
      <c r="C2959" s="223">
        <v>26</v>
      </c>
      <c r="D2959" s="223">
        <v>7</v>
      </c>
      <c r="E2959" s="223">
        <v>1000</v>
      </c>
    </row>
    <row r="2960" spans="1:5" ht="15">
      <c r="A2960" s="223" t="s">
        <v>39</v>
      </c>
      <c r="B2960" s="223">
        <v>21</v>
      </c>
      <c r="C2960" s="223">
        <v>26</v>
      </c>
      <c r="D2960" s="223">
        <v>8</v>
      </c>
      <c r="E2960" s="223">
        <v>4750</v>
      </c>
    </row>
    <row r="2961" spans="1:5" ht="15">
      <c r="A2961" s="223" t="s">
        <v>39</v>
      </c>
      <c r="B2961" s="223">
        <v>21</v>
      </c>
      <c r="C2961" s="223">
        <v>27</v>
      </c>
      <c r="D2961" s="223">
        <v>0</v>
      </c>
      <c r="E2961" s="223">
        <v>230</v>
      </c>
    </row>
    <row r="2962" spans="1:5" ht="15">
      <c r="A2962" s="223" t="s">
        <v>39</v>
      </c>
      <c r="B2962" s="223">
        <v>21</v>
      </c>
      <c r="C2962" s="223">
        <v>27</v>
      </c>
      <c r="D2962" s="223">
        <v>2</v>
      </c>
      <c r="E2962" s="223">
        <v>5361379</v>
      </c>
    </row>
    <row r="2963" spans="1:5" ht="15">
      <c r="A2963" s="223" t="s">
        <v>39</v>
      </c>
      <c r="B2963" s="223">
        <v>21</v>
      </c>
      <c r="C2963" s="223">
        <v>27</v>
      </c>
      <c r="D2963" s="223">
        <v>3</v>
      </c>
      <c r="E2963" s="223">
        <v>3452908</v>
      </c>
    </row>
    <row r="2964" spans="1:5" ht="15">
      <c r="A2964" s="223" t="s">
        <v>39</v>
      </c>
      <c r="B2964" s="223">
        <v>21</v>
      </c>
      <c r="C2964" s="223">
        <v>27</v>
      </c>
      <c r="D2964" s="223">
        <v>4</v>
      </c>
      <c r="E2964" s="223">
        <v>4367040</v>
      </c>
    </row>
    <row r="2965" spans="1:5" ht="15">
      <c r="A2965" s="223" t="s">
        <v>39</v>
      </c>
      <c r="B2965" s="223">
        <v>21</v>
      </c>
      <c r="C2965" s="223">
        <v>27</v>
      </c>
      <c r="D2965" s="223">
        <v>5</v>
      </c>
      <c r="E2965" s="223">
        <v>42984</v>
      </c>
    </row>
    <row r="2966" spans="1:5" ht="15">
      <c r="A2966" s="223" t="s">
        <v>39</v>
      </c>
      <c r="B2966" s="223">
        <v>21</v>
      </c>
      <c r="C2966" s="223">
        <v>27</v>
      </c>
      <c r="D2966" s="223">
        <v>7</v>
      </c>
      <c r="E2966" s="223">
        <v>380000</v>
      </c>
    </row>
    <row r="2967" spans="1:5" ht="15">
      <c r="A2967" s="223" t="s">
        <v>39</v>
      </c>
      <c r="B2967" s="223">
        <v>21</v>
      </c>
      <c r="C2967" s="223">
        <v>27</v>
      </c>
      <c r="D2967" s="223">
        <v>8</v>
      </c>
      <c r="E2967" s="223">
        <v>4500</v>
      </c>
    </row>
    <row r="2968" spans="1:5" ht="15">
      <c r="A2968" s="223" t="s">
        <v>39</v>
      </c>
      <c r="B2968" s="223">
        <v>21</v>
      </c>
      <c r="C2968" s="223">
        <v>31</v>
      </c>
      <c r="D2968" s="223">
        <v>2</v>
      </c>
      <c r="E2968" s="223">
        <v>3391</v>
      </c>
    </row>
    <row r="2969" spans="1:5" ht="15">
      <c r="A2969" s="223" t="s">
        <v>39</v>
      </c>
      <c r="B2969" s="223">
        <v>21</v>
      </c>
      <c r="C2969" s="223">
        <v>31</v>
      </c>
      <c r="D2969" s="223">
        <v>4</v>
      </c>
      <c r="E2969" s="223">
        <v>-5223</v>
      </c>
    </row>
    <row r="2970" spans="1:5" ht="15">
      <c r="A2970" s="223" t="s">
        <v>39</v>
      </c>
      <c r="B2970" s="223">
        <v>21</v>
      </c>
      <c r="C2970" s="223">
        <v>31</v>
      </c>
      <c r="D2970" s="223">
        <v>5</v>
      </c>
      <c r="E2970" s="223">
        <v>5000</v>
      </c>
    </row>
    <row r="2971" spans="1:5" ht="15">
      <c r="A2971" s="223" t="s">
        <v>39</v>
      </c>
      <c r="B2971" s="223">
        <v>21</v>
      </c>
      <c r="C2971" s="223">
        <v>31</v>
      </c>
      <c r="D2971" s="223">
        <v>7</v>
      </c>
      <c r="E2971" s="223">
        <v>1500</v>
      </c>
    </row>
    <row r="2972" spans="1:5" ht="15">
      <c r="A2972" s="223" t="s">
        <v>39</v>
      </c>
      <c r="B2972" s="223">
        <v>21</v>
      </c>
      <c r="C2972" s="223">
        <v>32</v>
      </c>
      <c r="D2972" s="223">
        <v>3</v>
      </c>
      <c r="E2972" s="223">
        <v>1500</v>
      </c>
    </row>
    <row r="2973" spans="1:5" ht="15">
      <c r="A2973" s="223" t="s">
        <v>39</v>
      </c>
      <c r="B2973" s="223">
        <v>21</v>
      </c>
      <c r="C2973" s="223">
        <v>32</v>
      </c>
      <c r="D2973" s="223">
        <v>4</v>
      </c>
      <c r="E2973" s="223">
        <v>288</v>
      </c>
    </row>
    <row r="2974" spans="1:5" ht="15">
      <c r="A2974" s="223" t="s">
        <v>39</v>
      </c>
      <c r="B2974" s="223">
        <v>21</v>
      </c>
      <c r="C2974" s="223">
        <v>32</v>
      </c>
      <c r="D2974" s="223">
        <v>5</v>
      </c>
      <c r="E2974" s="223">
        <v>15000</v>
      </c>
    </row>
    <row r="2975" spans="1:5" ht="15">
      <c r="A2975" s="223" t="s">
        <v>39</v>
      </c>
      <c r="B2975" s="223">
        <v>21</v>
      </c>
      <c r="C2975" s="223">
        <v>33</v>
      </c>
      <c r="D2975" s="223">
        <v>5</v>
      </c>
      <c r="E2975" s="223">
        <v>65250</v>
      </c>
    </row>
    <row r="2976" spans="1:5" ht="15">
      <c r="A2976" s="223" t="s">
        <v>39</v>
      </c>
      <c r="B2976" s="223">
        <v>21</v>
      </c>
      <c r="C2976" s="223">
        <v>34</v>
      </c>
      <c r="D2976" s="223">
        <v>2</v>
      </c>
      <c r="E2976" s="223">
        <v>156902</v>
      </c>
    </row>
    <row r="2977" spans="1:5" ht="15">
      <c r="A2977" s="223" t="s">
        <v>39</v>
      </c>
      <c r="B2977" s="223">
        <v>21</v>
      </c>
      <c r="C2977" s="223">
        <v>34</v>
      </c>
      <c r="D2977" s="223">
        <v>4</v>
      </c>
      <c r="E2977" s="223">
        <v>56201</v>
      </c>
    </row>
    <row r="2978" spans="1:5" ht="15">
      <c r="A2978" s="223" t="s">
        <v>39</v>
      </c>
      <c r="B2978" s="223">
        <v>24</v>
      </c>
      <c r="C2978" s="223">
        <v>21</v>
      </c>
      <c r="D2978" s="223">
        <v>3</v>
      </c>
      <c r="E2978" s="223">
        <v>206736</v>
      </c>
    </row>
    <row r="2979" spans="1:5" ht="15">
      <c r="A2979" s="223" t="s">
        <v>39</v>
      </c>
      <c r="B2979" s="223">
        <v>24</v>
      </c>
      <c r="C2979" s="223">
        <v>21</v>
      </c>
      <c r="D2979" s="223">
        <v>4</v>
      </c>
      <c r="E2979" s="223">
        <v>92319</v>
      </c>
    </row>
    <row r="2980" spans="1:5" ht="15">
      <c r="A2980" s="223" t="s">
        <v>39</v>
      </c>
      <c r="B2980" s="223">
        <v>24</v>
      </c>
      <c r="C2980" s="223">
        <v>24</v>
      </c>
      <c r="D2980" s="223">
        <v>2</v>
      </c>
      <c r="E2980" s="223">
        <v>490393</v>
      </c>
    </row>
    <row r="2981" spans="1:5" ht="15">
      <c r="A2981" s="223" t="s">
        <v>39</v>
      </c>
      <c r="B2981" s="223">
        <v>24</v>
      </c>
      <c r="C2981" s="223">
        <v>24</v>
      </c>
      <c r="D2981" s="223">
        <v>4</v>
      </c>
      <c r="E2981" s="223">
        <v>171526</v>
      </c>
    </row>
    <row r="2982" spans="1:5" ht="15">
      <c r="A2982" s="223" t="s">
        <v>39</v>
      </c>
      <c r="B2982" s="223">
        <v>24</v>
      </c>
      <c r="C2982" s="223">
        <v>26</v>
      </c>
      <c r="D2982" s="223">
        <v>2</v>
      </c>
      <c r="E2982" s="223">
        <v>104069</v>
      </c>
    </row>
    <row r="2983" spans="1:5" ht="15">
      <c r="A2983" s="223" t="s">
        <v>39</v>
      </c>
      <c r="B2983" s="223">
        <v>24</v>
      </c>
      <c r="C2983" s="223">
        <v>26</v>
      </c>
      <c r="D2983" s="223">
        <v>4</v>
      </c>
      <c r="E2983" s="223">
        <v>35254</v>
      </c>
    </row>
    <row r="2984" spans="1:5" ht="15">
      <c r="A2984" s="223" t="s">
        <v>39</v>
      </c>
      <c r="B2984" s="223">
        <v>24</v>
      </c>
      <c r="C2984" s="223">
        <v>27</v>
      </c>
      <c r="D2984" s="223">
        <v>2</v>
      </c>
      <c r="E2984" s="223">
        <v>452183</v>
      </c>
    </row>
    <row r="2985" spans="1:5" ht="15">
      <c r="A2985" s="223" t="s">
        <v>39</v>
      </c>
      <c r="B2985" s="223">
        <v>24</v>
      </c>
      <c r="C2985" s="223">
        <v>27</v>
      </c>
      <c r="D2985" s="223">
        <v>3</v>
      </c>
      <c r="E2985" s="223">
        <v>22082</v>
      </c>
    </row>
    <row r="2986" spans="1:5" ht="15">
      <c r="A2986" s="223" t="s">
        <v>39</v>
      </c>
      <c r="B2986" s="223">
        <v>24</v>
      </c>
      <c r="C2986" s="223">
        <v>27</v>
      </c>
      <c r="D2986" s="223">
        <v>4</v>
      </c>
      <c r="E2986" s="223">
        <v>173833</v>
      </c>
    </row>
    <row r="2987" spans="1:5" ht="15">
      <c r="A2987" s="223" t="s">
        <v>39</v>
      </c>
      <c r="B2987" s="223">
        <v>24</v>
      </c>
      <c r="C2987" s="223">
        <v>27</v>
      </c>
      <c r="D2987" s="223">
        <v>5</v>
      </c>
      <c r="E2987" s="223">
        <v>36381</v>
      </c>
    </row>
    <row r="2988" spans="1:5" ht="15">
      <c r="A2988" s="223" t="s">
        <v>39</v>
      </c>
      <c r="B2988" s="223">
        <v>24</v>
      </c>
      <c r="C2988" s="223">
        <v>31</v>
      </c>
      <c r="D2988" s="223">
        <v>2</v>
      </c>
      <c r="E2988" s="223">
        <v>18259</v>
      </c>
    </row>
    <row r="2989" spans="1:5" ht="15">
      <c r="A2989" s="223" t="s">
        <v>39</v>
      </c>
      <c r="B2989" s="223">
        <v>24</v>
      </c>
      <c r="C2989" s="223">
        <v>31</v>
      </c>
      <c r="D2989" s="223">
        <v>4</v>
      </c>
      <c r="E2989" s="223">
        <v>5631</v>
      </c>
    </row>
    <row r="2990" spans="1:5" ht="15">
      <c r="A2990" s="223" t="s">
        <v>39</v>
      </c>
      <c r="B2990" s="223">
        <v>24</v>
      </c>
      <c r="C2990" s="223">
        <v>32</v>
      </c>
      <c r="D2990" s="223">
        <v>3</v>
      </c>
      <c r="E2990" s="223">
        <v>31624</v>
      </c>
    </row>
    <row r="2991" spans="1:5" ht="15">
      <c r="A2991" s="223" t="s">
        <v>39</v>
      </c>
      <c r="B2991" s="223">
        <v>24</v>
      </c>
      <c r="C2991" s="223">
        <v>32</v>
      </c>
      <c r="D2991" s="223">
        <v>4</v>
      </c>
      <c r="E2991" s="223">
        <v>19613</v>
      </c>
    </row>
    <row r="2992" spans="1:5" ht="15">
      <c r="A2992" s="223" t="s">
        <v>41</v>
      </c>
      <c r="B2992" s="223">
        <v>21</v>
      </c>
      <c r="C2992" s="223">
        <v>21</v>
      </c>
      <c r="D2992" s="223">
        <v>2</v>
      </c>
      <c r="E2992" s="223">
        <v>114204</v>
      </c>
    </row>
    <row r="2993" spans="1:5" ht="15">
      <c r="A2993" s="223" t="s">
        <v>41</v>
      </c>
      <c r="B2993" s="223">
        <v>21</v>
      </c>
      <c r="C2993" s="223">
        <v>21</v>
      </c>
      <c r="D2993" s="223">
        <v>3</v>
      </c>
      <c r="E2993" s="223">
        <v>60699</v>
      </c>
    </row>
    <row r="2994" spans="1:5" ht="15">
      <c r="A2994" s="223" t="s">
        <v>41</v>
      </c>
      <c r="B2994" s="223">
        <v>21</v>
      </c>
      <c r="C2994" s="223">
        <v>21</v>
      </c>
      <c r="D2994" s="223">
        <v>4</v>
      </c>
      <c r="E2994" s="223">
        <v>61380</v>
      </c>
    </row>
    <row r="2995" spans="1:5" ht="15">
      <c r="A2995" s="223" t="s">
        <v>41</v>
      </c>
      <c r="B2995" s="223">
        <v>21</v>
      </c>
      <c r="C2995" s="223">
        <v>21</v>
      </c>
      <c r="D2995" s="223">
        <v>5</v>
      </c>
      <c r="E2995" s="223">
        <v>1500</v>
      </c>
    </row>
    <row r="2996" spans="1:5" ht="15">
      <c r="A2996" s="223" t="s">
        <v>41</v>
      </c>
      <c r="B2996" s="223">
        <v>21</v>
      </c>
      <c r="C2996" s="223">
        <v>21</v>
      </c>
      <c r="D2996" s="223">
        <v>7</v>
      </c>
      <c r="E2996" s="223">
        <v>7000</v>
      </c>
    </row>
    <row r="2997" spans="1:5" ht="15">
      <c r="A2997" s="223" t="s">
        <v>41</v>
      </c>
      <c r="B2997" s="223">
        <v>21</v>
      </c>
      <c r="C2997" s="223">
        <v>21</v>
      </c>
      <c r="D2997" s="223">
        <v>8</v>
      </c>
      <c r="E2997" s="223">
        <v>2000</v>
      </c>
    </row>
    <row r="2998" spans="1:5" ht="15">
      <c r="A2998" s="223" t="s">
        <v>41</v>
      </c>
      <c r="B2998" s="223">
        <v>21</v>
      </c>
      <c r="C2998" s="223">
        <v>26</v>
      </c>
      <c r="D2998" s="223">
        <v>2</v>
      </c>
      <c r="E2998" s="223">
        <v>455842</v>
      </c>
    </row>
    <row r="2999" spans="1:5" ht="15">
      <c r="A2999" s="223" t="s">
        <v>41</v>
      </c>
      <c r="B2999" s="223">
        <v>21</v>
      </c>
      <c r="C2999" s="223">
        <v>26</v>
      </c>
      <c r="D2999" s="223">
        <v>3</v>
      </c>
      <c r="E2999" s="223">
        <v>40470</v>
      </c>
    </row>
    <row r="3000" spans="1:5" ht="15">
      <c r="A3000" s="223" t="s">
        <v>41</v>
      </c>
      <c r="B3000" s="223">
        <v>21</v>
      </c>
      <c r="C3000" s="223">
        <v>26</v>
      </c>
      <c r="D3000" s="223">
        <v>4</v>
      </c>
      <c r="E3000" s="223">
        <v>194974</v>
      </c>
    </row>
    <row r="3001" spans="1:5" ht="15">
      <c r="A3001" s="223" t="s">
        <v>41</v>
      </c>
      <c r="B3001" s="223">
        <v>21</v>
      </c>
      <c r="C3001" s="223">
        <v>27</v>
      </c>
      <c r="D3001" s="223">
        <v>2</v>
      </c>
      <c r="E3001" s="223">
        <v>522756</v>
      </c>
    </row>
    <row r="3002" spans="1:5" ht="15">
      <c r="A3002" s="223" t="s">
        <v>41</v>
      </c>
      <c r="B3002" s="223">
        <v>21</v>
      </c>
      <c r="C3002" s="223">
        <v>27</v>
      </c>
      <c r="D3002" s="223">
        <v>3</v>
      </c>
      <c r="E3002" s="223">
        <v>554253</v>
      </c>
    </row>
    <row r="3003" spans="1:5" ht="15">
      <c r="A3003" s="223" t="s">
        <v>41</v>
      </c>
      <c r="B3003" s="223">
        <v>21</v>
      </c>
      <c r="C3003" s="223">
        <v>27</v>
      </c>
      <c r="D3003" s="223">
        <v>4</v>
      </c>
      <c r="E3003" s="223">
        <v>631938</v>
      </c>
    </row>
    <row r="3004" spans="1:5" ht="15">
      <c r="A3004" s="223" t="s">
        <v>41</v>
      </c>
      <c r="B3004" s="223">
        <v>21</v>
      </c>
      <c r="C3004" s="223">
        <v>27</v>
      </c>
      <c r="D3004" s="223">
        <v>5</v>
      </c>
      <c r="E3004" s="223">
        <v>22358</v>
      </c>
    </row>
    <row r="3005" spans="1:5" ht="15">
      <c r="A3005" s="223" t="s">
        <v>41</v>
      </c>
      <c r="B3005" s="223">
        <v>21</v>
      </c>
      <c r="C3005" s="223">
        <v>27</v>
      </c>
      <c r="D3005" s="223">
        <v>7</v>
      </c>
      <c r="E3005" s="223">
        <v>300000</v>
      </c>
    </row>
    <row r="3006" spans="1:5" ht="15">
      <c r="A3006" s="223" t="s">
        <v>41</v>
      </c>
      <c r="B3006" s="223">
        <v>21</v>
      </c>
      <c r="C3006" s="223">
        <v>31</v>
      </c>
      <c r="D3006" s="223">
        <v>7</v>
      </c>
      <c r="E3006" s="223">
        <v>5000</v>
      </c>
    </row>
    <row r="3007" spans="1:5" ht="15">
      <c r="A3007" s="223" t="s">
        <v>41</v>
      </c>
      <c r="B3007" s="223">
        <v>21</v>
      </c>
      <c r="C3007" s="223">
        <v>34</v>
      </c>
      <c r="D3007" s="223">
        <v>2</v>
      </c>
      <c r="E3007" s="223">
        <v>24963</v>
      </c>
    </row>
    <row r="3008" spans="1:5" ht="15">
      <c r="A3008" s="223" t="s">
        <v>41</v>
      </c>
      <c r="B3008" s="223">
        <v>21</v>
      </c>
      <c r="C3008" s="223">
        <v>34</v>
      </c>
      <c r="D3008" s="223">
        <v>4</v>
      </c>
      <c r="E3008" s="223">
        <v>5656</v>
      </c>
    </row>
    <row r="3009" spans="1:5" ht="15">
      <c r="A3009" s="223" t="s">
        <v>41</v>
      </c>
      <c r="B3009" s="223">
        <v>24</v>
      </c>
      <c r="C3009" s="223">
        <v>27</v>
      </c>
      <c r="D3009" s="223">
        <v>2</v>
      </c>
      <c r="E3009" s="223">
        <v>292966</v>
      </c>
    </row>
    <row r="3010" spans="1:5" ht="15">
      <c r="A3010" s="223" t="s">
        <v>41</v>
      </c>
      <c r="B3010" s="223">
        <v>24</v>
      </c>
      <c r="C3010" s="223">
        <v>27</v>
      </c>
      <c r="D3010" s="223">
        <v>4</v>
      </c>
      <c r="E3010" s="223">
        <v>123827</v>
      </c>
    </row>
    <row r="3011" spans="1:5" ht="15">
      <c r="A3011" s="223" t="s">
        <v>41</v>
      </c>
      <c r="B3011" s="223">
        <v>26</v>
      </c>
      <c r="C3011" s="223">
        <v>21</v>
      </c>
      <c r="D3011" s="223">
        <v>2</v>
      </c>
      <c r="E3011" s="223">
        <v>19588</v>
      </c>
    </row>
    <row r="3012" spans="1:5" ht="15">
      <c r="A3012" s="223" t="s">
        <v>41</v>
      </c>
      <c r="B3012" s="223">
        <v>26</v>
      </c>
      <c r="C3012" s="223">
        <v>21</v>
      </c>
      <c r="D3012" s="223">
        <v>3</v>
      </c>
      <c r="E3012" s="223">
        <v>5278</v>
      </c>
    </row>
    <row r="3013" spans="1:5" ht="15">
      <c r="A3013" s="223" t="s">
        <v>41</v>
      </c>
      <c r="B3013" s="223">
        <v>26</v>
      </c>
      <c r="C3013" s="223">
        <v>21</v>
      </c>
      <c r="D3013" s="223">
        <v>4</v>
      </c>
      <c r="E3013" s="223">
        <v>8551</v>
      </c>
    </row>
    <row r="3014" spans="1:5" ht="15">
      <c r="A3014" s="223" t="s">
        <v>41</v>
      </c>
      <c r="B3014" s="223">
        <v>26</v>
      </c>
      <c r="C3014" s="223">
        <v>26</v>
      </c>
      <c r="D3014" s="223">
        <v>2</v>
      </c>
      <c r="E3014" s="223">
        <v>31582</v>
      </c>
    </row>
    <row r="3015" spans="1:5" ht="15">
      <c r="A3015" s="223" t="s">
        <v>41</v>
      </c>
      <c r="B3015" s="223">
        <v>26</v>
      </c>
      <c r="C3015" s="223">
        <v>26</v>
      </c>
      <c r="D3015" s="223">
        <v>4</v>
      </c>
      <c r="E3015" s="223">
        <v>12768</v>
      </c>
    </row>
    <row r="3016" spans="1:5" ht="15">
      <c r="A3016" s="223" t="s">
        <v>41</v>
      </c>
      <c r="B3016" s="223">
        <v>26</v>
      </c>
      <c r="C3016" s="223">
        <v>26</v>
      </c>
      <c r="D3016" s="223">
        <v>7</v>
      </c>
      <c r="E3016" s="223">
        <v>19686</v>
      </c>
    </row>
    <row r="3017" spans="1:5" ht="15">
      <c r="A3017" s="223" t="s">
        <v>41</v>
      </c>
      <c r="B3017" s="223">
        <v>26</v>
      </c>
      <c r="C3017" s="223">
        <v>27</v>
      </c>
      <c r="D3017" s="223">
        <v>2</v>
      </c>
      <c r="E3017" s="223">
        <v>40260</v>
      </c>
    </row>
    <row r="3018" spans="1:5" ht="15">
      <c r="A3018" s="223" t="s">
        <v>41</v>
      </c>
      <c r="B3018" s="223">
        <v>26</v>
      </c>
      <c r="C3018" s="223">
        <v>27</v>
      </c>
      <c r="D3018" s="223">
        <v>3</v>
      </c>
      <c r="E3018" s="223">
        <v>23045</v>
      </c>
    </row>
    <row r="3019" spans="1:5" ht="15">
      <c r="A3019" s="223" t="s">
        <v>41</v>
      </c>
      <c r="B3019" s="223">
        <v>26</v>
      </c>
      <c r="C3019" s="223">
        <v>27</v>
      </c>
      <c r="D3019" s="223">
        <v>4</v>
      </c>
      <c r="E3019" s="223">
        <v>35261</v>
      </c>
    </row>
    <row r="3020" spans="1:5" ht="15">
      <c r="A3020" s="223" t="s">
        <v>41</v>
      </c>
      <c r="B3020" s="223">
        <v>26</v>
      </c>
      <c r="C3020" s="223">
        <v>34</v>
      </c>
      <c r="D3020" s="223">
        <v>2</v>
      </c>
      <c r="E3020" s="223">
        <v>639</v>
      </c>
    </row>
    <row r="3021" spans="1:5" ht="15">
      <c r="A3021" s="223" t="s">
        <v>41</v>
      </c>
      <c r="B3021" s="223">
        <v>26</v>
      </c>
      <c r="C3021" s="223">
        <v>34</v>
      </c>
      <c r="D3021" s="223">
        <v>4</v>
      </c>
      <c r="E3021" s="223">
        <v>145</v>
      </c>
    </row>
    <row r="3022" spans="1:5" ht="15">
      <c r="A3022" s="223" t="s">
        <v>41</v>
      </c>
      <c r="B3022" s="223">
        <v>29</v>
      </c>
      <c r="C3022" s="223">
        <v>27</v>
      </c>
      <c r="D3022" s="223">
        <v>3</v>
      </c>
      <c r="E3022" s="223">
        <v>68370</v>
      </c>
    </row>
    <row r="3023" spans="1:5" ht="15">
      <c r="A3023" s="223" t="s">
        <v>41</v>
      </c>
      <c r="B3023" s="223">
        <v>29</v>
      </c>
      <c r="C3023" s="223">
        <v>27</v>
      </c>
      <c r="D3023" s="223">
        <v>4</v>
      </c>
      <c r="E3023" s="223">
        <v>51484</v>
      </c>
    </row>
    <row r="3024" spans="1:5" ht="15">
      <c r="A3024" s="223" t="s">
        <v>43</v>
      </c>
      <c r="B3024" s="223">
        <v>21</v>
      </c>
      <c r="C3024" s="223">
        <v>21</v>
      </c>
      <c r="D3024" s="223">
        <v>2</v>
      </c>
      <c r="E3024" s="223">
        <v>183807</v>
      </c>
    </row>
    <row r="3025" spans="1:5" ht="15">
      <c r="A3025" s="223" t="s">
        <v>43</v>
      </c>
      <c r="B3025" s="223">
        <v>21</v>
      </c>
      <c r="C3025" s="223">
        <v>21</v>
      </c>
      <c r="D3025" s="223">
        <v>3</v>
      </c>
      <c r="E3025" s="223">
        <v>120494</v>
      </c>
    </row>
    <row r="3026" spans="1:5" ht="15">
      <c r="A3026" s="223" t="s">
        <v>43</v>
      </c>
      <c r="B3026" s="223">
        <v>21</v>
      </c>
      <c r="C3026" s="223">
        <v>21</v>
      </c>
      <c r="D3026" s="223">
        <v>4</v>
      </c>
      <c r="E3026" s="223">
        <v>95288</v>
      </c>
    </row>
    <row r="3027" spans="1:5" ht="15">
      <c r="A3027" s="223" t="s">
        <v>43</v>
      </c>
      <c r="B3027" s="223">
        <v>21</v>
      </c>
      <c r="C3027" s="223">
        <v>21</v>
      </c>
      <c r="D3027" s="223">
        <v>5</v>
      </c>
      <c r="E3027" s="223">
        <v>6000</v>
      </c>
    </row>
    <row r="3028" spans="1:5" ht="15">
      <c r="A3028" s="223" t="s">
        <v>43</v>
      </c>
      <c r="B3028" s="223">
        <v>21</v>
      </c>
      <c r="C3028" s="223">
        <v>21</v>
      </c>
      <c r="D3028" s="223">
        <v>7</v>
      </c>
      <c r="E3028" s="223">
        <v>54000</v>
      </c>
    </row>
    <row r="3029" spans="1:5" ht="15">
      <c r="A3029" s="223" t="s">
        <v>43</v>
      </c>
      <c r="B3029" s="223">
        <v>21</v>
      </c>
      <c r="C3029" s="223">
        <v>21</v>
      </c>
      <c r="D3029" s="223">
        <v>8</v>
      </c>
      <c r="E3029" s="223">
        <v>5000</v>
      </c>
    </row>
    <row r="3030" spans="1:5" ht="15">
      <c r="A3030" s="223" t="s">
        <v>43</v>
      </c>
      <c r="B3030" s="223">
        <v>21</v>
      </c>
      <c r="C3030" s="223">
        <v>21</v>
      </c>
      <c r="D3030" s="223">
        <v>9</v>
      </c>
      <c r="E3030" s="223">
        <v>2500</v>
      </c>
    </row>
    <row r="3031" spans="1:5" ht="15">
      <c r="A3031" s="223" t="s">
        <v>43</v>
      </c>
      <c r="B3031" s="223">
        <v>21</v>
      </c>
      <c r="C3031" s="223">
        <v>24</v>
      </c>
      <c r="D3031" s="223">
        <v>2</v>
      </c>
      <c r="E3031" s="223">
        <v>42602</v>
      </c>
    </row>
    <row r="3032" spans="1:5" ht="15">
      <c r="A3032" s="223" t="s">
        <v>43</v>
      </c>
      <c r="B3032" s="223">
        <v>21</v>
      </c>
      <c r="C3032" s="223">
        <v>24</v>
      </c>
      <c r="D3032" s="223">
        <v>4</v>
      </c>
      <c r="E3032" s="223">
        <v>17882</v>
      </c>
    </row>
    <row r="3033" spans="1:5" ht="15">
      <c r="A3033" s="223" t="s">
        <v>43</v>
      </c>
      <c r="B3033" s="223">
        <v>21</v>
      </c>
      <c r="C3033" s="223">
        <v>24</v>
      </c>
      <c r="D3033" s="223">
        <v>7</v>
      </c>
      <c r="E3033" s="223">
        <v>250</v>
      </c>
    </row>
    <row r="3034" spans="1:5" ht="15">
      <c r="A3034" s="223" t="s">
        <v>43</v>
      </c>
      <c r="B3034" s="223">
        <v>21</v>
      </c>
      <c r="C3034" s="223">
        <v>25</v>
      </c>
      <c r="D3034" s="223">
        <v>3</v>
      </c>
      <c r="E3034" s="223">
        <v>750</v>
      </c>
    </row>
    <row r="3035" spans="1:5" ht="15">
      <c r="A3035" s="223" t="s">
        <v>43</v>
      </c>
      <c r="B3035" s="223">
        <v>21</v>
      </c>
      <c r="C3035" s="223">
        <v>25</v>
      </c>
      <c r="D3035" s="223">
        <v>4</v>
      </c>
      <c r="E3035" s="223">
        <v>158</v>
      </c>
    </row>
    <row r="3036" spans="1:5" ht="15">
      <c r="A3036" s="223" t="s">
        <v>43</v>
      </c>
      <c r="B3036" s="223">
        <v>21</v>
      </c>
      <c r="C3036" s="223">
        <v>26</v>
      </c>
      <c r="D3036" s="223">
        <v>2</v>
      </c>
      <c r="E3036" s="223">
        <v>1402526</v>
      </c>
    </row>
    <row r="3037" spans="1:5" ht="15">
      <c r="A3037" s="223" t="s">
        <v>43</v>
      </c>
      <c r="B3037" s="223">
        <v>21</v>
      </c>
      <c r="C3037" s="223">
        <v>26</v>
      </c>
      <c r="D3037" s="223">
        <v>3</v>
      </c>
      <c r="E3037" s="223">
        <v>153267</v>
      </c>
    </row>
    <row r="3038" spans="1:5" ht="15">
      <c r="A3038" s="223" t="s">
        <v>43</v>
      </c>
      <c r="B3038" s="223">
        <v>21</v>
      </c>
      <c r="C3038" s="223">
        <v>26</v>
      </c>
      <c r="D3038" s="223">
        <v>4</v>
      </c>
      <c r="E3038" s="223">
        <v>589015</v>
      </c>
    </row>
    <row r="3039" spans="1:5" ht="15">
      <c r="A3039" s="223" t="s">
        <v>43</v>
      </c>
      <c r="B3039" s="223">
        <v>21</v>
      </c>
      <c r="C3039" s="223">
        <v>26</v>
      </c>
      <c r="D3039" s="223">
        <v>5</v>
      </c>
      <c r="E3039" s="223">
        <v>21300</v>
      </c>
    </row>
    <row r="3040" spans="1:5" ht="15">
      <c r="A3040" s="223" t="s">
        <v>43</v>
      </c>
      <c r="B3040" s="223">
        <v>21</v>
      </c>
      <c r="C3040" s="223">
        <v>26</v>
      </c>
      <c r="D3040" s="223">
        <v>7</v>
      </c>
      <c r="E3040" s="223">
        <v>184000</v>
      </c>
    </row>
    <row r="3041" spans="1:5" ht="15">
      <c r="A3041" s="223" t="s">
        <v>43</v>
      </c>
      <c r="B3041" s="223">
        <v>21</v>
      </c>
      <c r="C3041" s="223">
        <v>26</v>
      </c>
      <c r="D3041" s="223">
        <v>8</v>
      </c>
      <c r="E3041" s="223">
        <v>5000</v>
      </c>
    </row>
    <row r="3042" spans="1:5" ht="15">
      <c r="A3042" s="223" t="s">
        <v>43</v>
      </c>
      <c r="B3042" s="223">
        <v>21</v>
      </c>
      <c r="C3042" s="223">
        <v>26</v>
      </c>
      <c r="D3042" s="223">
        <v>9</v>
      </c>
      <c r="E3042" s="223">
        <v>4000</v>
      </c>
    </row>
    <row r="3043" spans="1:5" ht="15">
      <c r="A3043" s="223" t="s">
        <v>43</v>
      </c>
      <c r="B3043" s="223">
        <v>21</v>
      </c>
      <c r="C3043" s="223">
        <v>27</v>
      </c>
      <c r="D3043" s="223">
        <v>2</v>
      </c>
      <c r="E3043" s="223">
        <v>1963678</v>
      </c>
    </row>
    <row r="3044" spans="1:5" ht="15">
      <c r="A3044" s="223" t="s">
        <v>43</v>
      </c>
      <c r="B3044" s="223">
        <v>21</v>
      </c>
      <c r="C3044" s="223">
        <v>27</v>
      </c>
      <c r="D3044" s="223">
        <v>3</v>
      </c>
      <c r="E3044" s="223">
        <v>2086667</v>
      </c>
    </row>
    <row r="3045" spans="1:5" ht="15">
      <c r="A3045" s="223" t="s">
        <v>43</v>
      </c>
      <c r="B3045" s="223">
        <v>21</v>
      </c>
      <c r="C3045" s="223">
        <v>27</v>
      </c>
      <c r="D3045" s="223">
        <v>4</v>
      </c>
      <c r="E3045" s="223">
        <v>1758856</v>
      </c>
    </row>
    <row r="3046" spans="1:5" ht="15">
      <c r="A3046" s="223" t="s">
        <v>43</v>
      </c>
      <c r="B3046" s="223">
        <v>21</v>
      </c>
      <c r="C3046" s="223">
        <v>27</v>
      </c>
      <c r="D3046" s="223">
        <v>5</v>
      </c>
      <c r="E3046" s="223">
        <v>16300</v>
      </c>
    </row>
    <row r="3047" spans="1:5" ht="15">
      <c r="A3047" s="223" t="s">
        <v>43</v>
      </c>
      <c r="B3047" s="223">
        <v>21</v>
      </c>
      <c r="C3047" s="223">
        <v>27</v>
      </c>
      <c r="D3047" s="223">
        <v>7</v>
      </c>
      <c r="E3047" s="223">
        <v>333909</v>
      </c>
    </row>
    <row r="3048" spans="1:5" ht="15">
      <c r="A3048" s="223" t="s">
        <v>43</v>
      </c>
      <c r="B3048" s="223">
        <v>21</v>
      </c>
      <c r="C3048" s="223">
        <v>27</v>
      </c>
      <c r="D3048" s="223">
        <v>8</v>
      </c>
      <c r="E3048" s="223">
        <v>14000</v>
      </c>
    </row>
    <row r="3049" spans="1:5" ht="15">
      <c r="A3049" s="223" t="s">
        <v>43</v>
      </c>
      <c r="B3049" s="223">
        <v>21</v>
      </c>
      <c r="C3049" s="223">
        <v>27</v>
      </c>
      <c r="D3049" s="223">
        <v>9</v>
      </c>
      <c r="E3049" s="223">
        <v>5000</v>
      </c>
    </row>
    <row r="3050" spans="1:5" ht="15">
      <c r="A3050" s="223" t="s">
        <v>43</v>
      </c>
      <c r="B3050" s="223">
        <v>21</v>
      </c>
      <c r="C3050" s="223">
        <v>31</v>
      </c>
      <c r="D3050" s="223">
        <v>0</v>
      </c>
      <c r="E3050" s="223">
        <v>2925</v>
      </c>
    </row>
    <row r="3051" spans="1:5" ht="15">
      <c r="A3051" s="223" t="s">
        <v>43</v>
      </c>
      <c r="B3051" s="223">
        <v>21</v>
      </c>
      <c r="C3051" s="223">
        <v>31</v>
      </c>
      <c r="D3051" s="223">
        <v>2</v>
      </c>
      <c r="E3051" s="223">
        <v>263583</v>
      </c>
    </row>
    <row r="3052" spans="1:5" ht="15">
      <c r="A3052" s="223" t="s">
        <v>43</v>
      </c>
      <c r="B3052" s="223">
        <v>21</v>
      </c>
      <c r="C3052" s="223">
        <v>31</v>
      </c>
      <c r="D3052" s="223">
        <v>3</v>
      </c>
      <c r="E3052" s="223">
        <v>3801</v>
      </c>
    </row>
    <row r="3053" spans="1:5" ht="15">
      <c r="A3053" s="223" t="s">
        <v>43</v>
      </c>
      <c r="B3053" s="223">
        <v>21</v>
      </c>
      <c r="C3053" s="223">
        <v>31</v>
      </c>
      <c r="D3053" s="223">
        <v>4</v>
      </c>
      <c r="E3053" s="223">
        <v>84090</v>
      </c>
    </row>
    <row r="3054" spans="1:5" ht="15">
      <c r="A3054" s="223" t="s">
        <v>43</v>
      </c>
      <c r="B3054" s="223">
        <v>21</v>
      </c>
      <c r="C3054" s="223">
        <v>31</v>
      </c>
      <c r="D3054" s="223">
        <v>5</v>
      </c>
      <c r="E3054" s="223">
        <v>12500</v>
      </c>
    </row>
    <row r="3055" spans="1:5" ht="15">
      <c r="A3055" s="223" t="s">
        <v>43</v>
      </c>
      <c r="B3055" s="223">
        <v>21</v>
      </c>
      <c r="C3055" s="223">
        <v>31</v>
      </c>
      <c r="D3055" s="223">
        <v>7</v>
      </c>
      <c r="E3055" s="223">
        <v>14000</v>
      </c>
    </row>
    <row r="3056" spans="1:5" ht="15">
      <c r="A3056" s="223" t="s">
        <v>43</v>
      </c>
      <c r="B3056" s="223">
        <v>21</v>
      </c>
      <c r="C3056" s="223">
        <v>33</v>
      </c>
      <c r="D3056" s="223">
        <v>5</v>
      </c>
      <c r="E3056" s="223">
        <v>10000</v>
      </c>
    </row>
    <row r="3057" spans="1:5" ht="15">
      <c r="A3057" s="223" t="s">
        <v>43</v>
      </c>
      <c r="B3057" s="223">
        <v>21</v>
      </c>
      <c r="C3057" s="223">
        <v>33</v>
      </c>
      <c r="D3057" s="223">
        <v>7</v>
      </c>
      <c r="E3057" s="223">
        <v>20000</v>
      </c>
    </row>
    <row r="3058" spans="1:5" ht="15">
      <c r="A3058" s="223" t="s">
        <v>43</v>
      </c>
      <c r="B3058" s="223">
        <v>21</v>
      </c>
      <c r="C3058" s="223">
        <v>34</v>
      </c>
      <c r="D3058" s="223">
        <v>2</v>
      </c>
      <c r="E3058" s="223">
        <v>46255</v>
      </c>
    </row>
    <row r="3059" spans="1:5" ht="15">
      <c r="A3059" s="223" t="s">
        <v>43</v>
      </c>
      <c r="B3059" s="223">
        <v>21</v>
      </c>
      <c r="C3059" s="223">
        <v>34</v>
      </c>
      <c r="D3059" s="223">
        <v>4</v>
      </c>
      <c r="E3059" s="223">
        <v>17961</v>
      </c>
    </row>
    <row r="3060" spans="1:5" ht="15">
      <c r="A3060" s="223" t="s">
        <v>43</v>
      </c>
      <c r="B3060" s="223">
        <v>23</v>
      </c>
      <c r="C3060" s="223">
        <v>26</v>
      </c>
      <c r="D3060" s="223">
        <v>2</v>
      </c>
      <c r="E3060" s="223">
        <v>56062</v>
      </c>
    </row>
    <row r="3061" spans="1:5" ht="15">
      <c r="A3061" s="223" t="s">
        <v>43</v>
      </c>
      <c r="B3061" s="223">
        <v>23</v>
      </c>
      <c r="C3061" s="223">
        <v>26</v>
      </c>
      <c r="D3061" s="223">
        <v>3</v>
      </c>
      <c r="E3061" s="223">
        <v>5371</v>
      </c>
    </row>
    <row r="3062" spans="1:5" ht="15">
      <c r="A3062" s="223" t="s">
        <v>43</v>
      </c>
      <c r="B3062" s="223">
        <v>23</v>
      </c>
      <c r="C3062" s="223">
        <v>26</v>
      </c>
      <c r="D3062" s="223">
        <v>4</v>
      </c>
      <c r="E3062" s="223">
        <v>21247</v>
      </c>
    </row>
    <row r="3063" spans="1:5" ht="15">
      <c r="A3063" s="223" t="s">
        <v>43</v>
      </c>
      <c r="B3063" s="223">
        <v>23</v>
      </c>
      <c r="C3063" s="223">
        <v>26</v>
      </c>
      <c r="D3063" s="223">
        <v>7</v>
      </c>
      <c r="E3063" s="223">
        <v>30000</v>
      </c>
    </row>
    <row r="3064" spans="1:5" ht="15">
      <c r="A3064" s="223" t="s">
        <v>43</v>
      </c>
      <c r="B3064" s="223">
        <v>23</v>
      </c>
      <c r="C3064" s="223">
        <v>27</v>
      </c>
      <c r="D3064" s="223">
        <v>2</v>
      </c>
      <c r="E3064" s="223">
        <v>17500</v>
      </c>
    </row>
    <row r="3065" spans="1:5" ht="15">
      <c r="A3065" s="223" t="s">
        <v>43</v>
      </c>
      <c r="B3065" s="223">
        <v>23</v>
      </c>
      <c r="C3065" s="223">
        <v>27</v>
      </c>
      <c r="D3065" s="223">
        <v>3</v>
      </c>
      <c r="E3065" s="223">
        <v>9100</v>
      </c>
    </row>
    <row r="3066" spans="1:5" ht="15">
      <c r="A3066" s="223" t="s">
        <v>43</v>
      </c>
      <c r="B3066" s="223">
        <v>23</v>
      </c>
      <c r="C3066" s="223">
        <v>27</v>
      </c>
      <c r="D3066" s="223">
        <v>4</v>
      </c>
      <c r="E3066" s="223">
        <v>5360</v>
      </c>
    </row>
    <row r="3067" spans="1:5" ht="15">
      <c r="A3067" s="223" t="s">
        <v>43</v>
      </c>
      <c r="B3067" s="223">
        <v>23</v>
      </c>
      <c r="C3067" s="223">
        <v>27</v>
      </c>
      <c r="D3067" s="223">
        <v>5</v>
      </c>
      <c r="E3067" s="223">
        <v>4000</v>
      </c>
    </row>
    <row r="3068" spans="1:5" ht="15">
      <c r="A3068" s="223" t="s">
        <v>43</v>
      </c>
      <c r="B3068" s="223">
        <v>23</v>
      </c>
      <c r="C3068" s="223">
        <v>27</v>
      </c>
      <c r="D3068" s="223">
        <v>7</v>
      </c>
      <c r="E3068" s="223">
        <v>43162</v>
      </c>
    </row>
    <row r="3069" spans="1:5" ht="15">
      <c r="A3069" s="223" t="s">
        <v>43</v>
      </c>
      <c r="B3069" s="223">
        <v>23</v>
      </c>
      <c r="C3069" s="223">
        <v>31</v>
      </c>
      <c r="D3069" s="223">
        <v>2</v>
      </c>
      <c r="E3069" s="223">
        <v>807</v>
      </c>
    </row>
    <row r="3070" spans="1:5" ht="15">
      <c r="A3070" s="223" t="s">
        <v>43</v>
      </c>
      <c r="B3070" s="223">
        <v>23</v>
      </c>
      <c r="C3070" s="223">
        <v>31</v>
      </c>
      <c r="D3070" s="223">
        <v>4</v>
      </c>
      <c r="E3070" s="223">
        <v>286</v>
      </c>
    </row>
    <row r="3071" spans="1:5" ht="15">
      <c r="A3071" s="223" t="s">
        <v>43</v>
      </c>
      <c r="B3071" s="223">
        <v>23</v>
      </c>
      <c r="C3071" s="223">
        <v>33</v>
      </c>
      <c r="D3071" s="223">
        <v>5</v>
      </c>
      <c r="E3071" s="223">
        <v>2120</v>
      </c>
    </row>
    <row r="3072" spans="1:5" ht="15">
      <c r="A3072" s="223" t="s">
        <v>43</v>
      </c>
      <c r="B3072" s="223">
        <v>24</v>
      </c>
      <c r="C3072" s="223">
        <v>24</v>
      </c>
      <c r="D3072" s="223">
        <v>2</v>
      </c>
      <c r="E3072" s="223">
        <v>53923</v>
      </c>
    </row>
    <row r="3073" spans="1:5" ht="15">
      <c r="A3073" s="223" t="s">
        <v>43</v>
      </c>
      <c r="B3073" s="223">
        <v>24</v>
      </c>
      <c r="C3073" s="223">
        <v>24</v>
      </c>
      <c r="D3073" s="223">
        <v>4</v>
      </c>
      <c r="E3073" s="223">
        <v>20414</v>
      </c>
    </row>
    <row r="3074" spans="1:5" ht="15">
      <c r="A3074" s="223" t="s">
        <v>43</v>
      </c>
      <c r="B3074" s="223">
        <v>24</v>
      </c>
      <c r="C3074" s="223">
        <v>26</v>
      </c>
      <c r="D3074" s="223">
        <v>2</v>
      </c>
      <c r="E3074" s="223">
        <v>31399</v>
      </c>
    </row>
    <row r="3075" spans="1:5" ht="15">
      <c r="A3075" s="223" t="s">
        <v>43</v>
      </c>
      <c r="B3075" s="223">
        <v>24</v>
      </c>
      <c r="C3075" s="223">
        <v>26</v>
      </c>
      <c r="D3075" s="223">
        <v>4</v>
      </c>
      <c r="E3075" s="223">
        <v>12946</v>
      </c>
    </row>
    <row r="3076" spans="1:5" ht="15">
      <c r="A3076" s="223" t="s">
        <v>43</v>
      </c>
      <c r="B3076" s="223">
        <v>24</v>
      </c>
      <c r="C3076" s="223">
        <v>26</v>
      </c>
      <c r="D3076" s="223">
        <v>7</v>
      </c>
      <c r="E3076" s="223">
        <v>95000</v>
      </c>
    </row>
    <row r="3077" spans="1:5" ht="15">
      <c r="A3077" s="223" t="s">
        <v>43</v>
      </c>
      <c r="B3077" s="223">
        <v>24</v>
      </c>
      <c r="C3077" s="223">
        <v>27</v>
      </c>
      <c r="D3077" s="223">
        <v>3</v>
      </c>
      <c r="E3077" s="223">
        <v>123622</v>
      </c>
    </row>
    <row r="3078" spans="1:5" ht="15">
      <c r="A3078" s="223" t="s">
        <v>43</v>
      </c>
      <c r="B3078" s="223">
        <v>24</v>
      </c>
      <c r="C3078" s="223">
        <v>27</v>
      </c>
      <c r="D3078" s="223">
        <v>4</v>
      </c>
      <c r="E3078" s="223">
        <v>62682</v>
      </c>
    </row>
    <row r="3079" spans="1:5" ht="15">
      <c r="A3079" s="223" t="s">
        <v>43</v>
      </c>
      <c r="B3079" s="223">
        <v>24</v>
      </c>
      <c r="C3079" s="223">
        <v>27</v>
      </c>
      <c r="D3079" s="223">
        <v>5</v>
      </c>
      <c r="E3079" s="223">
        <v>23585</v>
      </c>
    </row>
    <row r="3080" spans="1:5" ht="15">
      <c r="A3080" s="223" t="s">
        <v>43</v>
      </c>
      <c r="B3080" s="223">
        <v>24</v>
      </c>
      <c r="C3080" s="223">
        <v>27</v>
      </c>
      <c r="D3080" s="223">
        <v>7</v>
      </c>
      <c r="E3080" s="223">
        <v>362986</v>
      </c>
    </row>
    <row r="3081" spans="1:5" ht="15">
      <c r="A3081" s="223" t="s">
        <v>43</v>
      </c>
      <c r="B3081" s="223">
        <v>24</v>
      </c>
      <c r="C3081" s="223">
        <v>31</v>
      </c>
      <c r="D3081" s="223">
        <v>2</v>
      </c>
      <c r="E3081" s="223">
        <v>3806</v>
      </c>
    </row>
    <row r="3082" spans="1:5" ht="15">
      <c r="A3082" s="223" t="s">
        <v>43</v>
      </c>
      <c r="B3082" s="223">
        <v>24</v>
      </c>
      <c r="C3082" s="223">
        <v>31</v>
      </c>
      <c r="D3082" s="223">
        <v>4</v>
      </c>
      <c r="E3082" s="223">
        <v>1122</v>
      </c>
    </row>
    <row r="3083" spans="1:5" ht="15">
      <c r="A3083" s="223" t="s">
        <v>43</v>
      </c>
      <c r="B3083" s="223">
        <v>24</v>
      </c>
      <c r="C3083" s="223">
        <v>31</v>
      </c>
      <c r="D3083" s="223">
        <v>5</v>
      </c>
      <c r="E3083" s="223">
        <v>4000</v>
      </c>
    </row>
    <row r="3084" spans="1:5" ht="15">
      <c r="A3084" s="223" t="s">
        <v>43</v>
      </c>
      <c r="B3084" s="223">
        <v>24</v>
      </c>
      <c r="C3084" s="223">
        <v>31</v>
      </c>
      <c r="D3084" s="223">
        <v>7</v>
      </c>
      <c r="E3084" s="223">
        <v>7500</v>
      </c>
    </row>
    <row r="3085" spans="1:5" ht="15">
      <c r="A3085" s="223" t="s">
        <v>43</v>
      </c>
      <c r="B3085" s="223">
        <v>24</v>
      </c>
      <c r="C3085" s="223">
        <v>33</v>
      </c>
      <c r="D3085" s="223">
        <v>5</v>
      </c>
      <c r="E3085" s="223">
        <v>4000</v>
      </c>
    </row>
    <row r="3086" spans="1:5" ht="15">
      <c r="A3086" s="223" t="s">
        <v>45</v>
      </c>
      <c r="B3086" s="223">
        <v>21</v>
      </c>
      <c r="C3086" s="223">
        <v>21</v>
      </c>
      <c r="D3086" s="223">
        <v>2</v>
      </c>
      <c r="E3086" s="223">
        <v>148871</v>
      </c>
    </row>
    <row r="3087" spans="1:5" ht="15">
      <c r="A3087" s="223" t="s">
        <v>45</v>
      </c>
      <c r="B3087" s="223">
        <v>21</v>
      </c>
      <c r="C3087" s="223">
        <v>21</v>
      </c>
      <c r="D3087" s="223">
        <v>3</v>
      </c>
      <c r="E3087" s="223">
        <v>58231</v>
      </c>
    </row>
    <row r="3088" spans="1:5" ht="15">
      <c r="A3088" s="223" t="s">
        <v>45</v>
      </c>
      <c r="B3088" s="223">
        <v>21</v>
      </c>
      <c r="C3088" s="223">
        <v>21</v>
      </c>
      <c r="D3088" s="223">
        <v>4</v>
      </c>
      <c r="E3088" s="223">
        <v>69539</v>
      </c>
    </row>
    <row r="3089" spans="1:5" ht="15">
      <c r="A3089" s="223" t="s">
        <v>45</v>
      </c>
      <c r="B3089" s="223">
        <v>21</v>
      </c>
      <c r="C3089" s="223">
        <v>25</v>
      </c>
      <c r="D3089" s="223">
        <v>3</v>
      </c>
      <c r="E3089" s="223">
        <v>41524</v>
      </c>
    </row>
    <row r="3090" spans="1:5" ht="15">
      <c r="A3090" s="223" t="s">
        <v>45</v>
      </c>
      <c r="B3090" s="223">
        <v>21</v>
      </c>
      <c r="C3090" s="223">
        <v>25</v>
      </c>
      <c r="D3090" s="223">
        <v>4</v>
      </c>
      <c r="E3090" s="223">
        <v>26146</v>
      </c>
    </row>
    <row r="3091" spans="1:5" ht="15">
      <c r="A3091" s="223" t="s">
        <v>45</v>
      </c>
      <c r="B3091" s="223">
        <v>21</v>
      </c>
      <c r="C3091" s="223">
        <v>26</v>
      </c>
      <c r="D3091" s="223">
        <v>2</v>
      </c>
      <c r="E3091" s="223">
        <v>522567</v>
      </c>
    </row>
    <row r="3092" spans="1:5" ht="15">
      <c r="A3092" s="223" t="s">
        <v>45</v>
      </c>
      <c r="B3092" s="223">
        <v>21</v>
      </c>
      <c r="C3092" s="223">
        <v>26</v>
      </c>
      <c r="D3092" s="223">
        <v>3</v>
      </c>
      <c r="E3092" s="223">
        <v>400</v>
      </c>
    </row>
    <row r="3093" spans="1:5" ht="15">
      <c r="A3093" s="223" t="s">
        <v>45</v>
      </c>
      <c r="B3093" s="223">
        <v>21</v>
      </c>
      <c r="C3093" s="223">
        <v>26</v>
      </c>
      <c r="D3093" s="223">
        <v>4</v>
      </c>
      <c r="E3093" s="223">
        <v>187447</v>
      </c>
    </row>
    <row r="3094" spans="1:5" ht="15">
      <c r="A3094" s="223" t="s">
        <v>45</v>
      </c>
      <c r="B3094" s="223">
        <v>21</v>
      </c>
      <c r="C3094" s="223">
        <v>26</v>
      </c>
      <c r="D3094" s="223">
        <v>7</v>
      </c>
      <c r="E3094" s="223">
        <v>4501</v>
      </c>
    </row>
    <row r="3095" spans="1:5" ht="15">
      <c r="A3095" s="223" t="s">
        <v>45</v>
      </c>
      <c r="B3095" s="223">
        <v>21</v>
      </c>
      <c r="C3095" s="223">
        <v>27</v>
      </c>
      <c r="D3095" s="223">
        <v>0</v>
      </c>
      <c r="E3095" s="223">
        <v>531</v>
      </c>
    </row>
    <row r="3096" spans="1:5" ht="15">
      <c r="A3096" s="223" t="s">
        <v>45</v>
      </c>
      <c r="B3096" s="223">
        <v>21</v>
      </c>
      <c r="C3096" s="223">
        <v>27</v>
      </c>
      <c r="D3096" s="223">
        <v>2</v>
      </c>
      <c r="E3096" s="223">
        <v>671726</v>
      </c>
    </row>
    <row r="3097" spans="1:5" ht="15">
      <c r="A3097" s="223" t="s">
        <v>45</v>
      </c>
      <c r="B3097" s="223">
        <v>21</v>
      </c>
      <c r="C3097" s="223">
        <v>27</v>
      </c>
      <c r="D3097" s="223">
        <v>3</v>
      </c>
      <c r="E3097" s="223">
        <v>690684</v>
      </c>
    </row>
    <row r="3098" spans="1:5" ht="15">
      <c r="A3098" s="223" t="s">
        <v>45</v>
      </c>
      <c r="B3098" s="223">
        <v>21</v>
      </c>
      <c r="C3098" s="223">
        <v>27</v>
      </c>
      <c r="D3098" s="223">
        <v>4</v>
      </c>
      <c r="E3098" s="223">
        <v>665615</v>
      </c>
    </row>
    <row r="3099" spans="1:5" ht="15">
      <c r="A3099" s="223" t="s">
        <v>45</v>
      </c>
      <c r="B3099" s="223">
        <v>21</v>
      </c>
      <c r="C3099" s="223">
        <v>27</v>
      </c>
      <c r="D3099" s="223">
        <v>5</v>
      </c>
      <c r="E3099" s="223">
        <v>18397</v>
      </c>
    </row>
    <row r="3100" spans="1:5" ht="15">
      <c r="A3100" s="223" t="s">
        <v>45</v>
      </c>
      <c r="B3100" s="223">
        <v>21</v>
      </c>
      <c r="C3100" s="223">
        <v>27</v>
      </c>
      <c r="D3100" s="223">
        <v>7</v>
      </c>
      <c r="E3100" s="223">
        <v>183865</v>
      </c>
    </row>
    <row r="3101" spans="1:5" ht="15">
      <c r="A3101" s="223" t="s">
        <v>45</v>
      </c>
      <c r="B3101" s="223">
        <v>21</v>
      </c>
      <c r="C3101" s="223">
        <v>27</v>
      </c>
      <c r="D3101" s="223">
        <v>8</v>
      </c>
      <c r="E3101" s="223">
        <v>11688</v>
      </c>
    </row>
    <row r="3102" spans="1:5" ht="15">
      <c r="A3102" s="223" t="s">
        <v>45</v>
      </c>
      <c r="B3102" s="223">
        <v>21</v>
      </c>
      <c r="C3102" s="223">
        <v>31</v>
      </c>
      <c r="D3102" s="223">
        <v>0</v>
      </c>
      <c r="E3102" s="223">
        <v>500</v>
      </c>
    </row>
    <row r="3103" spans="1:5" ht="15">
      <c r="A3103" s="223" t="s">
        <v>45</v>
      </c>
      <c r="B3103" s="223">
        <v>21</v>
      </c>
      <c r="C3103" s="223">
        <v>31</v>
      </c>
      <c r="D3103" s="223">
        <v>5</v>
      </c>
      <c r="E3103" s="223">
        <v>1</v>
      </c>
    </row>
    <row r="3104" spans="1:5" ht="15">
      <c r="A3104" s="223" t="s">
        <v>45</v>
      </c>
      <c r="B3104" s="223">
        <v>21</v>
      </c>
      <c r="C3104" s="223">
        <v>31</v>
      </c>
      <c r="D3104" s="223">
        <v>7</v>
      </c>
      <c r="E3104" s="223">
        <v>5000</v>
      </c>
    </row>
    <row r="3105" spans="1:5" ht="15">
      <c r="A3105" s="223" t="s">
        <v>45</v>
      </c>
      <c r="B3105" s="223">
        <v>21</v>
      </c>
      <c r="C3105" s="223">
        <v>31</v>
      </c>
      <c r="D3105" s="223">
        <v>8</v>
      </c>
      <c r="E3105" s="223">
        <v>1100</v>
      </c>
    </row>
    <row r="3106" spans="1:5" ht="15">
      <c r="A3106" s="223" t="s">
        <v>45</v>
      </c>
      <c r="B3106" s="223">
        <v>21</v>
      </c>
      <c r="C3106" s="223">
        <v>34</v>
      </c>
      <c r="D3106" s="223">
        <v>2</v>
      </c>
      <c r="E3106" s="223">
        <v>24542</v>
      </c>
    </row>
    <row r="3107" spans="1:5" ht="15">
      <c r="A3107" s="223" t="s">
        <v>45</v>
      </c>
      <c r="B3107" s="223">
        <v>21</v>
      </c>
      <c r="C3107" s="223">
        <v>34</v>
      </c>
      <c r="D3107" s="223">
        <v>4</v>
      </c>
      <c r="E3107" s="223">
        <v>9358</v>
      </c>
    </row>
    <row r="3108" spans="1:5" ht="15">
      <c r="A3108" s="223" t="s">
        <v>45</v>
      </c>
      <c r="B3108" s="223">
        <v>23</v>
      </c>
      <c r="C3108" s="223">
        <v>27</v>
      </c>
      <c r="D3108" s="223">
        <v>5</v>
      </c>
      <c r="E3108" s="223">
        <v>100</v>
      </c>
    </row>
    <row r="3109" spans="1:5" ht="15">
      <c r="A3109" s="223" t="s">
        <v>45</v>
      </c>
      <c r="B3109" s="223">
        <v>23</v>
      </c>
      <c r="C3109" s="223">
        <v>27</v>
      </c>
      <c r="D3109" s="223">
        <v>7</v>
      </c>
      <c r="E3109" s="223">
        <v>36816</v>
      </c>
    </row>
    <row r="3110" spans="1:5" ht="15">
      <c r="A3110" s="223" t="s">
        <v>45</v>
      </c>
      <c r="B3110" s="223">
        <v>23</v>
      </c>
      <c r="C3110" s="223">
        <v>31</v>
      </c>
      <c r="D3110" s="223">
        <v>7</v>
      </c>
      <c r="E3110" s="223">
        <v>491</v>
      </c>
    </row>
    <row r="3111" spans="1:5" ht="15">
      <c r="A3111" s="223" t="s">
        <v>45</v>
      </c>
      <c r="B3111" s="223">
        <v>24</v>
      </c>
      <c r="C3111" s="223">
        <v>27</v>
      </c>
      <c r="D3111" s="223">
        <v>2</v>
      </c>
      <c r="E3111" s="223">
        <v>244104</v>
      </c>
    </row>
    <row r="3112" spans="1:5" ht="15">
      <c r="A3112" s="223" t="s">
        <v>45</v>
      </c>
      <c r="B3112" s="223">
        <v>24</v>
      </c>
      <c r="C3112" s="223">
        <v>27</v>
      </c>
      <c r="D3112" s="223">
        <v>3</v>
      </c>
      <c r="E3112" s="223">
        <v>2127</v>
      </c>
    </row>
    <row r="3113" spans="1:5" ht="15">
      <c r="A3113" s="223" t="s">
        <v>45</v>
      </c>
      <c r="B3113" s="223">
        <v>24</v>
      </c>
      <c r="C3113" s="223">
        <v>27</v>
      </c>
      <c r="D3113" s="223">
        <v>4</v>
      </c>
      <c r="E3113" s="223">
        <v>90883</v>
      </c>
    </row>
    <row r="3114" spans="1:5" ht="15">
      <c r="A3114" s="223" t="s">
        <v>45</v>
      </c>
      <c r="B3114" s="223">
        <v>24</v>
      </c>
      <c r="C3114" s="223">
        <v>27</v>
      </c>
      <c r="D3114" s="223">
        <v>5</v>
      </c>
      <c r="E3114" s="223">
        <v>1018</v>
      </c>
    </row>
    <row r="3115" spans="1:5" ht="15">
      <c r="A3115" s="223" t="s">
        <v>45</v>
      </c>
      <c r="B3115" s="223">
        <v>24</v>
      </c>
      <c r="C3115" s="223">
        <v>27</v>
      </c>
      <c r="D3115" s="223">
        <v>7</v>
      </c>
      <c r="E3115" s="223">
        <v>3</v>
      </c>
    </row>
    <row r="3116" spans="1:5" ht="15">
      <c r="A3116" s="223" t="s">
        <v>45</v>
      </c>
      <c r="B3116" s="223">
        <v>24</v>
      </c>
      <c r="C3116" s="223">
        <v>27</v>
      </c>
      <c r="D3116" s="223">
        <v>8</v>
      </c>
      <c r="E3116" s="223">
        <v>1</v>
      </c>
    </row>
    <row r="3117" spans="1:5" ht="15">
      <c r="A3117" s="223" t="s">
        <v>45</v>
      </c>
      <c r="B3117" s="223">
        <v>24</v>
      </c>
      <c r="C3117" s="223">
        <v>31</v>
      </c>
      <c r="D3117" s="223">
        <v>7</v>
      </c>
      <c r="E3117" s="223">
        <v>1</v>
      </c>
    </row>
    <row r="3118" spans="1:5" ht="15">
      <c r="A3118" s="223" t="s">
        <v>47</v>
      </c>
      <c r="B3118" s="223">
        <v>21</v>
      </c>
      <c r="C3118" s="223">
        <v>26</v>
      </c>
      <c r="D3118" s="223">
        <v>3</v>
      </c>
      <c r="E3118" s="223">
        <v>4385</v>
      </c>
    </row>
    <row r="3119" spans="1:5" ht="15">
      <c r="A3119" s="223" t="s">
        <v>47</v>
      </c>
      <c r="B3119" s="223">
        <v>21</v>
      </c>
      <c r="C3119" s="223">
        <v>26</v>
      </c>
      <c r="D3119" s="223">
        <v>4</v>
      </c>
      <c r="E3119" s="223">
        <v>2498</v>
      </c>
    </row>
    <row r="3120" spans="1:5" ht="15">
      <c r="A3120" s="223" t="s">
        <v>47</v>
      </c>
      <c r="B3120" s="223">
        <v>21</v>
      </c>
      <c r="C3120" s="223">
        <v>27</v>
      </c>
      <c r="D3120" s="223">
        <v>2</v>
      </c>
      <c r="E3120" s="223">
        <v>375</v>
      </c>
    </row>
    <row r="3121" spans="1:5" ht="15">
      <c r="A3121" s="223" t="s">
        <v>47</v>
      </c>
      <c r="B3121" s="223">
        <v>21</v>
      </c>
      <c r="C3121" s="223">
        <v>27</v>
      </c>
      <c r="D3121" s="223">
        <v>3</v>
      </c>
      <c r="E3121" s="223">
        <v>201412</v>
      </c>
    </row>
    <row r="3122" spans="1:5" ht="15">
      <c r="A3122" s="223" t="s">
        <v>47</v>
      </c>
      <c r="B3122" s="223">
        <v>21</v>
      </c>
      <c r="C3122" s="223">
        <v>27</v>
      </c>
      <c r="D3122" s="223">
        <v>4</v>
      </c>
      <c r="E3122" s="223">
        <v>128018</v>
      </c>
    </row>
    <row r="3123" spans="1:5" ht="15">
      <c r="A3123" s="223" t="s">
        <v>47</v>
      </c>
      <c r="B3123" s="223">
        <v>21</v>
      </c>
      <c r="C3123" s="223">
        <v>27</v>
      </c>
      <c r="D3123" s="223">
        <v>7</v>
      </c>
      <c r="E3123" s="223">
        <v>924496</v>
      </c>
    </row>
    <row r="3124" spans="1:5" ht="15">
      <c r="A3124" s="223" t="s">
        <v>69</v>
      </c>
      <c r="B3124" s="223">
        <v>21</v>
      </c>
      <c r="C3124" s="223">
        <v>27</v>
      </c>
      <c r="D3124" s="223">
        <v>7</v>
      </c>
      <c r="E3124" s="223">
        <v>83401</v>
      </c>
    </row>
    <row r="3125" spans="1:5" ht="15">
      <c r="A3125" s="223" t="s">
        <v>71</v>
      </c>
      <c r="B3125" s="223">
        <v>21</v>
      </c>
      <c r="C3125" s="223">
        <v>21</v>
      </c>
      <c r="D3125" s="223">
        <v>2</v>
      </c>
      <c r="E3125" s="223">
        <v>464137</v>
      </c>
    </row>
    <row r="3126" spans="1:5" ht="15">
      <c r="A3126" s="223" t="s">
        <v>71</v>
      </c>
      <c r="B3126" s="223">
        <v>21</v>
      </c>
      <c r="C3126" s="223">
        <v>21</v>
      </c>
      <c r="D3126" s="223">
        <v>3</v>
      </c>
      <c r="E3126" s="223">
        <v>133771</v>
      </c>
    </row>
    <row r="3127" spans="1:5" ht="15">
      <c r="A3127" s="223" t="s">
        <v>71</v>
      </c>
      <c r="B3127" s="223">
        <v>21</v>
      </c>
      <c r="C3127" s="223">
        <v>21</v>
      </c>
      <c r="D3127" s="223">
        <v>4</v>
      </c>
      <c r="E3127" s="223">
        <v>192566</v>
      </c>
    </row>
    <row r="3128" spans="1:5" ht="15">
      <c r="A3128" s="223" t="s">
        <v>71</v>
      </c>
      <c r="B3128" s="223">
        <v>21</v>
      </c>
      <c r="C3128" s="223">
        <v>21</v>
      </c>
      <c r="D3128" s="223">
        <v>5</v>
      </c>
      <c r="E3128" s="223">
        <v>12000</v>
      </c>
    </row>
    <row r="3129" spans="1:5" ht="15">
      <c r="A3129" s="223" t="s">
        <v>71</v>
      </c>
      <c r="B3129" s="223">
        <v>21</v>
      </c>
      <c r="C3129" s="223">
        <v>21</v>
      </c>
      <c r="D3129" s="223">
        <v>7</v>
      </c>
      <c r="E3129" s="223">
        <v>21200</v>
      </c>
    </row>
    <row r="3130" spans="1:5" ht="15">
      <c r="A3130" s="223" t="s">
        <v>71</v>
      </c>
      <c r="B3130" s="223">
        <v>21</v>
      </c>
      <c r="C3130" s="223">
        <v>25</v>
      </c>
      <c r="D3130" s="223">
        <v>7</v>
      </c>
      <c r="E3130" s="223">
        <v>12000</v>
      </c>
    </row>
    <row r="3131" spans="1:5" ht="15">
      <c r="A3131" s="223" t="s">
        <v>71</v>
      </c>
      <c r="B3131" s="223">
        <v>21</v>
      </c>
      <c r="C3131" s="223">
        <v>26</v>
      </c>
      <c r="D3131" s="223">
        <v>2</v>
      </c>
      <c r="E3131" s="223">
        <v>2131316</v>
      </c>
    </row>
    <row r="3132" spans="1:5" ht="15">
      <c r="A3132" s="223" t="s">
        <v>71</v>
      </c>
      <c r="B3132" s="223">
        <v>21</v>
      </c>
      <c r="C3132" s="223">
        <v>26</v>
      </c>
      <c r="D3132" s="223">
        <v>3</v>
      </c>
      <c r="E3132" s="223">
        <v>167518</v>
      </c>
    </row>
    <row r="3133" spans="1:5" ht="15">
      <c r="A3133" s="223" t="s">
        <v>71</v>
      </c>
      <c r="B3133" s="223">
        <v>21</v>
      </c>
      <c r="C3133" s="223">
        <v>26</v>
      </c>
      <c r="D3133" s="223">
        <v>4</v>
      </c>
      <c r="E3133" s="223">
        <v>859844</v>
      </c>
    </row>
    <row r="3134" spans="1:5" ht="15">
      <c r="A3134" s="223" t="s">
        <v>71</v>
      </c>
      <c r="B3134" s="223">
        <v>21</v>
      </c>
      <c r="C3134" s="223">
        <v>26</v>
      </c>
      <c r="D3134" s="223">
        <v>5</v>
      </c>
      <c r="E3134" s="223">
        <v>19000</v>
      </c>
    </row>
    <row r="3135" spans="1:5" ht="15">
      <c r="A3135" s="223" t="s">
        <v>71</v>
      </c>
      <c r="B3135" s="223">
        <v>21</v>
      </c>
      <c r="C3135" s="223">
        <v>26</v>
      </c>
      <c r="D3135" s="223">
        <v>7</v>
      </c>
      <c r="E3135" s="223">
        <v>55000</v>
      </c>
    </row>
    <row r="3136" spans="1:5" ht="15">
      <c r="A3136" s="223" t="s">
        <v>71</v>
      </c>
      <c r="B3136" s="223">
        <v>21</v>
      </c>
      <c r="C3136" s="223">
        <v>27</v>
      </c>
      <c r="D3136" s="223">
        <v>0</v>
      </c>
      <c r="E3136" s="223">
        <v>600</v>
      </c>
    </row>
    <row r="3137" spans="1:5" ht="15">
      <c r="A3137" s="223" t="s">
        <v>71</v>
      </c>
      <c r="B3137" s="223">
        <v>21</v>
      </c>
      <c r="C3137" s="223">
        <v>27</v>
      </c>
      <c r="D3137" s="223">
        <v>2</v>
      </c>
      <c r="E3137" s="223">
        <v>2461328</v>
      </c>
    </row>
    <row r="3138" spans="1:5" ht="15">
      <c r="A3138" s="223" t="s">
        <v>71</v>
      </c>
      <c r="B3138" s="223">
        <v>21</v>
      </c>
      <c r="C3138" s="223">
        <v>27</v>
      </c>
      <c r="D3138" s="223">
        <v>3</v>
      </c>
      <c r="E3138" s="223">
        <v>2867537</v>
      </c>
    </row>
    <row r="3139" spans="1:5" ht="15">
      <c r="A3139" s="223" t="s">
        <v>71</v>
      </c>
      <c r="B3139" s="223">
        <v>21</v>
      </c>
      <c r="C3139" s="223">
        <v>27</v>
      </c>
      <c r="D3139" s="223">
        <v>4</v>
      </c>
      <c r="E3139" s="223">
        <v>2478582</v>
      </c>
    </row>
    <row r="3140" spans="1:5" ht="15">
      <c r="A3140" s="223" t="s">
        <v>71</v>
      </c>
      <c r="B3140" s="223">
        <v>21</v>
      </c>
      <c r="C3140" s="223">
        <v>27</v>
      </c>
      <c r="D3140" s="223">
        <v>5</v>
      </c>
      <c r="E3140" s="223">
        <v>13500</v>
      </c>
    </row>
    <row r="3141" spans="1:5" ht="15">
      <c r="A3141" s="223" t="s">
        <v>71</v>
      </c>
      <c r="B3141" s="223">
        <v>21</v>
      </c>
      <c r="C3141" s="223">
        <v>27</v>
      </c>
      <c r="D3141" s="223">
        <v>7</v>
      </c>
      <c r="E3141" s="223">
        <v>340500</v>
      </c>
    </row>
    <row r="3142" spans="1:5" ht="15">
      <c r="A3142" s="223" t="s">
        <v>71</v>
      </c>
      <c r="B3142" s="223">
        <v>21</v>
      </c>
      <c r="C3142" s="223">
        <v>31</v>
      </c>
      <c r="D3142" s="223">
        <v>2</v>
      </c>
      <c r="E3142" s="223">
        <v>40605</v>
      </c>
    </row>
    <row r="3143" spans="1:5" ht="15">
      <c r="A3143" s="223" t="s">
        <v>71</v>
      </c>
      <c r="B3143" s="223">
        <v>21</v>
      </c>
      <c r="C3143" s="223">
        <v>31</v>
      </c>
      <c r="D3143" s="223">
        <v>4</v>
      </c>
      <c r="E3143" s="223">
        <v>14779</v>
      </c>
    </row>
    <row r="3144" spans="1:5" ht="15">
      <c r="A3144" s="223" t="s">
        <v>71</v>
      </c>
      <c r="B3144" s="223">
        <v>21</v>
      </c>
      <c r="C3144" s="223">
        <v>31</v>
      </c>
      <c r="D3144" s="223">
        <v>7</v>
      </c>
      <c r="E3144" s="223">
        <v>34300</v>
      </c>
    </row>
    <row r="3145" spans="1:5" ht="15">
      <c r="A3145" s="223" t="s">
        <v>71</v>
      </c>
      <c r="B3145" s="223">
        <v>21</v>
      </c>
      <c r="C3145" s="223">
        <v>33</v>
      </c>
      <c r="D3145" s="223">
        <v>5</v>
      </c>
      <c r="E3145" s="223">
        <v>15000</v>
      </c>
    </row>
    <row r="3146" spans="1:5" ht="15">
      <c r="A3146" s="223" t="s">
        <v>71</v>
      </c>
      <c r="B3146" s="223">
        <v>21</v>
      </c>
      <c r="C3146" s="223">
        <v>34</v>
      </c>
      <c r="D3146" s="223">
        <v>2</v>
      </c>
      <c r="E3146" s="223">
        <v>58497</v>
      </c>
    </row>
    <row r="3147" spans="1:5" ht="15">
      <c r="A3147" s="223" t="s">
        <v>71</v>
      </c>
      <c r="B3147" s="223">
        <v>21</v>
      </c>
      <c r="C3147" s="223">
        <v>34</v>
      </c>
      <c r="D3147" s="223">
        <v>4</v>
      </c>
      <c r="E3147" s="223">
        <v>21613</v>
      </c>
    </row>
    <row r="3148" spans="1:5" ht="15">
      <c r="A3148" s="223" t="s">
        <v>71</v>
      </c>
      <c r="B3148" s="223">
        <v>23</v>
      </c>
      <c r="C3148" s="223">
        <v>27</v>
      </c>
      <c r="D3148" s="223">
        <v>5</v>
      </c>
      <c r="E3148" s="223">
        <v>23467</v>
      </c>
    </row>
    <row r="3149" spans="1:5" ht="15">
      <c r="A3149" s="223" t="s">
        <v>71</v>
      </c>
      <c r="B3149" s="223">
        <v>23</v>
      </c>
      <c r="C3149" s="223">
        <v>27</v>
      </c>
      <c r="D3149" s="223">
        <v>7</v>
      </c>
      <c r="E3149" s="223">
        <v>125240</v>
      </c>
    </row>
    <row r="3150" spans="1:5" ht="15">
      <c r="A3150" s="223" t="s">
        <v>71</v>
      </c>
      <c r="B3150" s="223">
        <v>24</v>
      </c>
      <c r="C3150" s="223">
        <v>26</v>
      </c>
      <c r="D3150" s="223">
        <v>2</v>
      </c>
      <c r="E3150" s="223">
        <v>117513</v>
      </c>
    </row>
    <row r="3151" spans="1:5" ht="15">
      <c r="A3151" s="223" t="s">
        <v>71</v>
      </c>
      <c r="B3151" s="223">
        <v>24</v>
      </c>
      <c r="C3151" s="223">
        <v>26</v>
      </c>
      <c r="D3151" s="223">
        <v>4</v>
      </c>
      <c r="E3151" s="223">
        <v>39648</v>
      </c>
    </row>
    <row r="3152" spans="1:5" ht="15">
      <c r="A3152" s="223" t="s">
        <v>71</v>
      </c>
      <c r="B3152" s="223">
        <v>24</v>
      </c>
      <c r="C3152" s="223">
        <v>27</v>
      </c>
      <c r="D3152" s="223">
        <v>2</v>
      </c>
      <c r="E3152" s="223">
        <v>757738</v>
      </c>
    </row>
    <row r="3153" spans="1:5" ht="15">
      <c r="A3153" s="223" t="s">
        <v>71</v>
      </c>
      <c r="B3153" s="223">
        <v>24</v>
      </c>
      <c r="C3153" s="223">
        <v>27</v>
      </c>
      <c r="D3153" s="223">
        <v>4</v>
      </c>
      <c r="E3153" s="223">
        <v>273404</v>
      </c>
    </row>
    <row r="3154" spans="1:5" ht="15">
      <c r="A3154" s="223" t="s">
        <v>71</v>
      </c>
      <c r="B3154" s="223">
        <v>24</v>
      </c>
      <c r="C3154" s="223">
        <v>31</v>
      </c>
      <c r="D3154" s="223">
        <v>2</v>
      </c>
      <c r="E3154" s="223">
        <v>22064</v>
      </c>
    </row>
    <row r="3155" spans="1:5" ht="15">
      <c r="A3155" s="223" t="s">
        <v>71</v>
      </c>
      <c r="B3155" s="223">
        <v>24</v>
      </c>
      <c r="C3155" s="223">
        <v>31</v>
      </c>
      <c r="D3155" s="223">
        <v>4</v>
      </c>
      <c r="E3155" s="223">
        <v>8192</v>
      </c>
    </row>
    <row r="3156" spans="1:5" ht="15">
      <c r="A3156" s="223" t="s">
        <v>73</v>
      </c>
      <c r="B3156" s="223">
        <v>21</v>
      </c>
      <c r="C3156" s="223">
        <v>21</v>
      </c>
      <c r="D3156" s="223">
        <v>2</v>
      </c>
      <c r="E3156" s="223">
        <v>16337</v>
      </c>
    </row>
    <row r="3157" spans="1:5" ht="15">
      <c r="A3157" s="223" t="s">
        <v>73</v>
      </c>
      <c r="B3157" s="223">
        <v>21</v>
      </c>
      <c r="C3157" s="223">
        <v>21</v>
      </c>
      <c r="D3157" s="223">
        <v>3</v>
      </c>
      <c r="E3157" s="223">
        <v>39437</v>
      </c>
    </row>
    <row r="3158" spans="1:5" ht="15">
      <c r="A3158" s="223" t="s">
        <v>73</v>
      </c>
      <c r="B3158" s="223">
        <v>21</v>
      </c>
      <c r="C3158" s="223">
        <v>21</v>
      </c>
      <c r="D3158" s="223">
        <v>4</v>
      </c>
      <c r="E3158" s="223">
        <v>20330</v>
      </c>
    </row>
    <row r="3159" spans="1:5" ht="15">
      <c r="A3159" s="223" t="s">
        <v>73</v>
      </c>
      <c r="B3159" s="223">
        <v>21</v>
      </c>
      <c r="C3159" s="223">
        <v>21</v>
      </c>
      <c r="D3159" s="223">
        <v>5</v>
      </c>
      <c r="E3159" s="223">
        <v>500</v>
      </c>
    </row>
    <row r="3160" spans="1:5" ht="15">
      <c r="A3160" s="223" t="s">
        <v>73</v>
      </c>
      <c r="B3160" s="223">
        <v>21</v>
      </c>
      <c r="C3160" s="223">
        <v>21</v>
      </c>
      <c r="D3160" s="223">
        <v>7</v>
      </c>
      <c r="E3160" s="223">
        <v>2000</v>
      </c>
    </row>
    <row r="3161" spans="1:5" ht="15">
      <c r="A3161" s="223" t="s">
        <v>73</v>
      </c>
      <c r="B3161" s="223">
        <v>21</v>
      </c>
      <c r="C3161" s="223">
        <v>26</v>
      </c>
      <c r="D3161" s="223">
        <v>2</v>
      </c>
      <c r="E3161" s="223">
        <v>268246</v>
      </c>
    </row>
    <row r="3162" spans="1:5" ht="15">
      <c r="A3162" s="223" t="s">
        <v>73</v>
      </c>
      <c r="B3162" s="223">
        <v>21</v>
      </c>
      <c r="C3162" s="223">
        <v>26</v>
      </c>
      <c r="D3162" s="223">
        <v>3</v>
      </c>
      <c r="E3162" s="223">
        <v>31530</v>
      </c>
    </row>
    <row r="3163" spans="1:5" ht="15">
      <c r="A3163" s="223" t="s">
        <v>73</v>
      </c>
      <c r="B3163" s="223">
        <v>21</v>
      </c>
      <c r="C3163" s="223">
        <v>26</v>
      </c>
      <c r="D3163" s="223">
        <v>4</v>
      </c>
      <c r="E3163" s="223">
        <v>118958</v>
      </c>
    </row>
    <row r="3164" spans="1:5" ht="15">
      <c r="A3164" s="223" t="s">
        <v>73</v>
      </c>
      <c r="B3164" s="223">
        <v>21</v>
      </c>
      <c r="C3164" s="223">
        <v>26</v>
      </c>
      <c r="D3164" s="223">
        <v>5</v>
      </c>
      <c r="E3164" s="223">
        <v>3150</v>
      </c>
    </row>
    <row r="3165" spans="1:5" ht="15">
      <c r="A3165" s="223" t="s">
        <v>73</v>
      </c>
      <c r="B3165" s="223">
        <v>21</v>
      </c>
      <c r="C3165" s="223">
        <v>26</v>
      </c>
      <c r="D3165" s="223">
        <v>7</v>
      </c>
      <c r="E3165" s="223">
        <v>199000</v>
      </c>
    </row>
    <row r="3166" spans="1:5" ht="15">
      <c r="A3166" s="223" t="s">
        <v>73</v>
      </c>
      <c r="B3166" s="223">
        <v>21</v>
      </c>
      <c r="C3166" s="223">
        <v>27</v>
      </c>
      <c r="D3166" s="223">
        <v>2</v>
      </c>
      <c r="E3166" s="223">
        <v>747286</v>
      </c>
    </row>
    <row r="3167" spans="1:5" ht="15">
      <c r="A3167" s="223" t="s">
        <v>73</v>
      </c>
      <c r="B3167" s="223">
        <v>21</v>
      </c>
      <c r="C3167" s="223">
        <v>27</v>
      </c>
      <c r="D3167" s="223">
        <v>3</v>
      </c>
      <c r="E3167" s="223">
        <v>686283</v>
      </c>
    </row>
    <row r="3168" spans="1:5" ht="15">
      <c r="A3168" s="223" t="s">
        <v>73</v>
      </c>
      <c r="B3168" s="223">
        <v>21</v>
      </c>
      <c r="C3168" s="223">
        <v>27</v>
      </c>
      <c r="D3168" s="223">
        <v>4</v>
      </c>
      <c r="E3168" s="223">
        <v>701783</v>
      </c>
    </row>
    <row r="3169" spans="1:5" ht="15">
      <c r="A3169" s="223" t="s">
        <v>73</v>
      </c>
      <c r="B3169" s="223">
        <v>21</v>
      </c>
      <c r="C3169" s="223">
        <v>27</v>
      </c>
      <c r="D3169" s="223">
        <v>5</v>
      </c>
      <c r="E3169" s="223">
        <v>4000</v>
      </c>
    </row>
    <row r="3170" spans="1:5" ht="15">
      <c r="A3170" s="223" t="s">
        <v>73</v>
      </c>
      <c r="B3170" s="223">
        <v>21</v>
      </c>
      <c r="C3170" s="223">
        <v>34</v>
      </c>
      <c r="D3170" s="223">
        <v>2</v>
      </c>
      <c r="E3170" s="223">
        <v>4385</v>
      </c>
    </row>
    <row r="3171" spans="1:5" ht="15">
      <c r="A3171" s="223" t="s">
        <v>73</v>
      </c>
      <c r="B3171" s="223">
        <v>21</v>
      </c>
      <c r="C3171" s="223">
        <v>34</v>
      </c>
      <c r="D3171" s="223">
        <v>4</v>
      </c>
      <c r="E3171" s="223">
        <v>1026</v>
      </c>
    </row>
    <row r="3172" spans="1:5" ht="15">
      <c r="A3172" s="223" t="s">
        <v>73</v>
      </c>
      <c r="B3172" s="223">
        <v>23</v>
      </c>
      <c r="C3172" s="223">
        <v>26</v>
      </c>
      <c r="D3172" s="223">
        <v>2</v>
      </c>
      <c r="E3172" s="223">
        <v>25688</v>
      </c>
    </row>
    <row r="3173" spans="1:5" ht="15">
      <c r="A3173" s="223" t="s">
        <v>73</v>
      </c>
      <c r="B3173" s="223">
        <v>23</v>
      </c>
      <c r="C3173" s="223">
        <v>26</v>
      </c>
      <c r="D3173" s="223">
        <v>4</v>
      </c>
      <c r="E3173" s="223">
        <v>8988</v>
      </c>
    </row>
    <row r="3174" spans="1:5" ht="15">
      <c r="A3174" s="223" t="s">
        <v>73</v>
      </c>
      <c r="B3174" s="223">
        <v>23</v>
      </c>
      <c r="C3174" s="223">
        <v>27</v>
      </c>
      <c r="D3174" s="223">
        <v>3</v>
      </c>
      <c r="E3174" s="223">
        <v>10754</v>
      </c>
    </row>
    <row r="3175" spans="1:5" ht="15">
      <c r="A3175" s="223" t="s">
        <v>73</v>
      </c>
      <c r="B3175" s="223">
        <v>23</v>
      </c>
      <c r="C3175" s="223">
        <v>27</v>
      </c>
      <c r="D3175" s="223">
        <v>4</v>
      </c>
      <c r="E3175" s="223">
        <v>6800</v>
      </c>
    </row>
    <row r="3176" spans="1:5" ht="15">
      <c r="A3176" s="223" t="s">
        <v>73</v>
      </c>
      <c r="B3176" s="223">
        <v>24</v>
      </c>
      <c r="C3176" s="223">
        <v>26</v>
      </c>
      <c r="D3176" s="223">
        <v>2</v>
      </c>
      <c r="E3176" s="223">
        <v>77063</v>
      </c>
    </row>
    <row r="3177" spans="1:5" ht="15">
      <c r="A3177" s="223" t="s">
        <v>73</v>
      </c>
      <c r="B3177" s="223">
        <v>24</v>
      </c>
      <c r="C3177" s="223">
        <v>26</v>
      </c>
      <c r="D3177" s="223">
        <v>4</v>
      </c>
      <c r="E3177" s="223">
        <v>26963</v>
      </c>
    </row>
    <row r="3178" spans="1:5" ht="15">
      <c r="A3178" s="223" t="s">
        <v>73</v>
      </c>
      <c r="B3178" s="223">
        <v>24</v>
      </c>
      <c r="C3178" s="223">
        <v>27</v>
      </c>
      <c r="D3178" s="223">
        <v>2</v>
      </c>
      <c r="E3178" s="223">
        <v>48395</v>
      </c>
    </row>
    <row r="3179" spans="1:5" ht="15">
      <c r="A3179" s="223" t="s">
        <v>73</v>
      </c>
      <c r="B3179" s="223">
        <v>24</v>
      </c>
      <c r="C3179" s="223">
        <v>27</v>
      </c>
      <c r="D3179" s="223">
        <v>3</v>
      </c>
      <c r="E3179" s="223">
        <v>70665</v>
      </c>
    </row>
    <row r="3180" spans="1:5" ht="15">
      <c r="A3180" s="223" t="s">
        <v>73</v>
      </c>
      <c r="B3180" s="223">
        <v>24</v>
      </c>
      <c r="C3180" s="223">
        <v>27</v>
      </c>
      <c r="D3180" s="223">
        <v>4</v>
      </c>
      <c r="E3180" s="223">
        <v>68273</v>
      </c>
    </row>
    <row r="3181" spans="1:5" ht="15">
      <c r="A3181" s="223" t="s">
        <v>75</v>
      </c>
      <c r="B3181" s="223">
        <v>21</v>
      </c>
      <c r="C3181" s="223">
        <v>27</v>
      </c>
      <c r="D3181" s="223">
        <v>2</v>
      </c>
      <c r="E3181" s="223">
        <v>189474</v>
      </c>
    </row>
    <row r="3182" spans="1:5" ht="15">
      <c r="A3182" s="223" t="s">
        <v>75</v>
      </c>
      <c r="B3182" s="223">
        <v>21</v>
      </c>
      <c r="C3182" s="223">
        <v>27</v>
      </c>
      <c r="D3182" s="223">
        <v>3</v>
      </c>
      <c r="E3182" s="223">
        <v>236660</v>
      </c>
    </row>
    <row r="3183" spans="1:5" ht="15">
      <c r="A3183" s="223" t="s">
        <v>75</v>
      </c>
      <c r="B3183" s="223">
        <v>21</v>
      </c>
      <c r="C3183" s="223">
        <v>27</v>
      </c>
      <c r="D3183" s="223">
        <v>4</v>
      </c>
      <c r="E3183" s="223">
        <v>258962</v>
      </c>
    </row>
    <row r="3184" spans="1:5" ht="15">
      <c r="A3184" s="223" t="s">
        <v>75</v>
      </c>
      <c r="B3184" s="223">
        <v>21</v>
      </c>
      <c r="C3184" s="223">
        <v>27</v>
      </c>
      <c r="D3184" s="223">
        <v>5</v>
      </c>
      <c r="E3184" s="223">
        <v>12500</v>
      </c>
    </row>
    <row r="3185" spans="1:5" ht="15">
      <c r="A3185" s="223" t="s">
        <v>75</v>
      </c>
      <c r="B3185" s="223">
        <v>21</v>
      </c>
      <c r="C3185" s="223">
        <v>27</v>
      </c>
      <c r="D3185" s="223">
        <v>7</v>
      </c>
      <c r="E3185" s="223">
        <v>100000</v>
      </c>
    </row>
    <row r="3186" spans="1:5" ht="15">
      <c r="A3186" s="223" t="s">
        <v>75</v>
      </c>
      <c r="B3186" s="223">
        <v>21</v>
      </c>
      <c r="C3186" s="223">
        <v>27</v>
      </c>
      <c r="D3186" s="223">
        <v>8</v>
      </c>
      <c r="E3186" s="223">
        <v>1000</v>
      </c>
    </row>
    <row r="3187" spans="1:5" ht="15">
      <c r="A3187" s="223" t="s">
        <v>75</v>
      </c>
      <c r="B3187" s="223">
        <v>21</v>
      </c>
      <c r="C3187" s="223">
        <v>29</v>
      </c>
      <c r="D3187" s="223">
        <v>7</v>
      </c>
      <c r="E3187" s="223">
        <v>45000</v>
      </c>
    </row>
    <row r="3188" spans="1:5" ht="15">
      <c r="A3188" s="223" t="s">
        <v>75</v>
      </c>
      <c r="B3188" s="223">
        <v>21</v>
      </c>
      <c r="C3188" s="223">
        <v>31</v>
      </c>
      <c r="D3188" s="223">
        <v>2</v>
      </c>
      <c r="E3188" s="223">
        <v>1882</v>
      </c>
    </row>
    <row r="3189" spans="1:5" ht="15">
      <c r="A3189" s="223" t="s">
        <v>75</v>
      </c>
      <c r="B3189" s="223">
        <v>21</v>
      </c>
      <c r="C3189" s="223">
        <v>31</v>
      </c>
      <c r="D3189" s="223">
        <v>4</v>
      </c>
      <c r="E3189" s="223">
        <v>864</v>
      </c>
    </row>
    <row r="3190" spans="1:5" ht="15">
      <c r="A3190" s="223" t="s">
        <v>75</v>
      </c>
      <c r="B3190" s="223">
        <v>21</v>
      </c>
      <c r="C3190" s="223">
        <v>33</v>
      </c>
      <c r="D3190" s="223">
        <v>5</v>
      </c>
      <c r="E3190" s="223">
        <v>19000</v>
      </c>
    </row>
    <row r="3191" spans="1:5" ht="15">
      <c r="A3191" s="223" t="s">
        <v>75</v>
      </c>
      <c r="B3191" s="223">
        <v>21</v>
      </c>
      <c r="C3191" s="223">
        <v>34</v>
      </c>
      <c r="D3191" s="223">
        <v>2</v>
      </c>
      <c r="E3191" s="223">
        <v>3763</v>
      </c>
    </row>
    <row r="3192" spans="1:5" ht="15">
      <c r="A3192" s="223" t="s">
        <v>75</v>
      </c>
      <c r="B3192" s="223">
        <v>21</v>
      </c>
      <c r="C3192" s="223">
        <v>34</v>
      </c>
      <c r="D3192" s="223">
        <v>4</v>
      </c>
      <c r="E3192" s="223">
        <v>1729</v>
      </c>
    </row>
    <row r="3193" spans="1:5" ht="15">
      <c r="A3193" s="223" t="s">
        <v>75</v>
      </c>
      <c r="B3193" s="223">
        <v>24</v>
      </c>
      <c r="C3193" s="223">
        <v>26</v>
      </c>
      <c r="D3193" s="223">
        <v>7</v>
      </c>
      <c r="E3193" s="223">
        <v>95725</v>
      </c>
    </row>
    <row r="3194" spans="1:5" ht="15">
      <c r="A3194" s="223" t="s">
        <v>75</v>
      </c>
      <c r="B3194" s="223">
        <v>24</v>
      </c>
      <c r="C3194" s="223">
        <v>27</v>
      </c>
      <c r="D3194" s="223">
        <v>3</v>
      </c>
      <c r="E3194" s="223">
        <v>2454</v>
      </c>
    </row>
    <row r="3195" spans="1:5" ht="15">
      <c r="A3195" s="223" t="s">
        <v>75</v>
      </c>
      <c r="B3195" s="223">
        <v>24</v>
      </c>
      <c r="C3195" s="223">
        <v>27</v>
      </c>
      <c r="D3195" s="223">
        <v>4</v>
      </c>
      <c r="E3195" s="223">
        <v>1682</v>
      </c>
    </row>
    <row r="3196" spans="1:5" ht="15">
      <c r="A3196" s="223" t="s">
        <v>205</v>
      </c>
      <c r="B3196" s="223">
        <v>21</v>
      </c>
      <c r="C3196" s="223">
        <v>21</v>
      </c>
      <c r="D3196" s="223">
        <v>2</v>
      </c>
      <c r="E3196" s="223">
        <v>290850</v>
      </c>
    </row>
    <row r="3197" spans="1:5" ht="15">
      <c r="A3197" s="223" t="s">
        <v>205</v>
      </c>
      <c r="B3197" s="223">
        <v>21</v>
      </c>
      <c r="C3197" s="223">
        <v>21</v>
      </c>
      <c r="D3197" s="223">
        <v>3</v>
      </c>
      <c r="E3197" s="223">
        <v>25005</v>
      </c>
    </row>
    <row r="3198" spans="1:5" ht="15">
      <c r="A3198" s="223" t="s">
        <v>205</v>
      </c>
      <c r="B3198" s="223">
        <v>21</v>
      </c>
      <c r="C3198" s="223">
        <v>21</v>
      </c>
      <c r="D3198" s="223">
        <v>4</v>
      </c>
      <c r="E3198" s="223">
        <v>101656</v>
      </c>
    </row>
    <row r="3199" spans="1:5" ht="15">
      <c r="A3199" s="223" t="s">
        <v>205</v>
      </c>
      <c r="B3199" s="223">
        <v>21</v>
      </c>
      <c r="C3199" s="223">
        <v>21</v>
      </c>
      <c r="D3199" s="223">
        <v>7</v>
      </c>
      <c r="E3199" s="223">
        <v>16500</v>
      </c>
    </row>
    <row r="3200" spans="1:5" ht="15">
      <c r="A3200" s="223" t="s">
        <v>205</v>
      </c>
      <c r="B3200" s="223">
        <v>21</v>
      </c>
      <c r="C3200" s="223">
        <v>21</v>
      </c>
      <c r="D3200" s="223">
        <v>8</v>
      </c>
      <c r="E3200" s="223">
        <v>500</v>
      </c>
    </row>
    <row r="3201" spans="1:5" ht="15">
      <c r="A3201" s="223" t="s">
        <v>205</v>
      </c>
      <c r="B3201" s="223">
        <v>21</v>
      </c>
      <c r="C3201" s="223">
        <v>24</v>
      </c>
      <c r="D3201" s="223">
        <v>7</v>
      </c>
      <c r="E3201" s="223">
        <v>12000</v>
      </c>
    </row>
    <row r="3202" spans="1:5" ht="15">
      <c r="A3202" s="223" t="s">
        <v>205</v>
      </c>
      <c r="B3202" s="223">
        <v>21</v>
      </c>
      <c r="C3202" s="223">
        <v>25</v>
      </c>
      <c r="D3202" s="223">
        <v>3</v>
      </c>
      <c r="E3202" s="223">
        <v>228012</v>
      </c>
    </row>
    <row r="3203" spans="1:5" ht="15">
      <c r="A3203" s="223" t="s">
        <v>205</v>
      </c>
      <c r="B3203" s="223">
        <v>21</v>
      </c>
      <c r="C3203" s="223">
        <v>25</v>
      </c>
      <c r="D3203" s="223">
        <v>4</v>
      </c>
      <c r="E3203" s="223">
        <v>160515</v>
      </c>
    </row>
    <row r="3204" spans="1:5" ht="15">
      <c r="A3204" s="223" t="s">
        <v>205</v>
      </c>
      <c r="B3204" s="223">
        <v>21</v>
      </c>
      <c r="C3204" s="223">
        <v>26</v>
      </c>
      <c r="D3204" s="223">
        <v>2</v>
      </c>
      <c r="E3204" s="223">
        <v>3227339</v>
      </c>
    </row>
    <row r="3205" spans="1:5" ht="15">
      <c r="A3205" s="223" t="s">
        <v>205</v>
      </c>
      <c r="B3205" s="223">
        <v>21</v>
      </c>
      <c r="C3205" s="223">
        <v>26</v>
      </c>
      <c r="D3205" s="223">
        <v>3</v>
      </c>
      <c r="E3205" s="223">
        <v>441094</v>
      </c>
    </row>
    <row r="3206" spans="1:5" ht="15">
      <c r="A3206" s="223" t="s">
        <v>205</v>
      </c>
      <c r="B3206" s="223">
        <v>21</v>
      </c>
      <c r="C3206" s="223">
        <v>26</v>
      </c>
      <c r="D3206" s="223">
        <v>4</v>
      </c>
      <c r="E3206" s="223">
        <v>1417320</v>
      </c>
    </row>
    <row r="3207" spans="1:5" ht="15">
      <c r="A3207" s="223" t="s">
        <v>205</v>
      </c>
      <c r="B3207" s="223">
        <v>21</v>
      </c>
      <c r="C3207" s="223">
        <v>26</v>
      </c>
      <c r="D3207" s="223">
        <v>7</v>
      </c>
      <c r="E3207" s="223">
        <v>442500</v>
      </c>
    </row>
    <row r="3208" spans="1:5" ht="15">
      <c r="A3208" s="223" t="s">
        <v>205</v>
      </c>
      <c r="B3208" s="223">
        <v>21</v>
      </c>
      <c r="C3208" s="223">
        <v>26</v>
      </c>
      <c r="D3208" s="223">
        <v>8</v>
      </c>
      <c r="E3208" s="223">
        <v>6700</v>
      </c>
    </row>
    <row r="3209" spans="1:5" ht="15">
      <c r="A3209" s="223" t="s">
        <v>205</v>
      </c>
      <c r="B3209" s="223">
        <v>21</v>
      </c>
      <c r="C3209" s="223">
        <v>27</v>
      </c>
      <c r="D3209" s="223">
        <v>2</v>
      </c>
      <c r="E3209" s="223">
        <v>3722010</v>
      </c>
    </row>
    <row r="3210" spans="1:5" ht="15">
      <c r="A3210" s="223" t="s">
        <v>205</v>
      </c>
      <c r="B3210" s="223">
        <v>21</v>
      </c>
      <c r="C3210" s="223">
        <v>27</v>
      </c>
      <c r="D3210" s="223">
        <v>3</v>
      </c>
      <c r="E3210" s="223">
        <v>3550303</v>
      </c>
    </row>
    <row r="3211" spans="1:5" ht="15">
      <c r="A3211" s="223" t="s">
        <v>205</v>
      </c>
      <c r="B3211" s="223">
        <v>21</v>
      </c>
      <c r="C3211" s="223">
        <v>27</v>
      </c>
      <c r="D3211" s="223">
        <v>4</v>
      </c>
      <c r="E3211" s="223">
        <v>3705715</v>
      </c>
    </row>
    <row r="3212" spans="1:5" ht="15">
      <c r="A3212" s="223" t="s">
        <v>205</v>
      </c>
      <c r="B3212" s="223">
        <v>21</v>
      </c>
      <c r="C3212" s="223">
        <v>27</v>
      </c>
      <c r="D3212" s="223">
        <v>5</v>
      </c>
      <c r="E3212" s="223">
        <v>108249</v>
      </c>
    </row>
    <row r="3213" spans="1:5" ht="15">
      <c r="A3213" s="223" t="s">
        <v>205</v>
      </c>
      <c r="B3213" s="223">
        <v>21</v>
      </c>
      <c r="C3213" s="223">
        <v>27</v>
      </c>
      <c r="D3213" s="223">
        <v>7</v>
      </c>
      <c r="E3213" s="223">
        <v>96650</v>
      </c>
    </row>
    <row r="3214" spans="1:5" ht="15">
      <c r="A3214" s="223" t="s">
        <v>205</v>
      </c>
      <c r="B3214" s="223">
        <v>21</v>
      </c>
      <c r="C3214" s="223">
        <v>27</v>
      </c>
      <c r="D3214" s="223">
        <v>8</v>
      </c>
      <c r="E3214" s="223">
        <v>3400</v>
      </c>
    </row>
    <row r="3215" spans="1:5" ht="15">
      <c r="A3215" s="223" t="s">
        <v>205</v>
      </c>
      <c r="B3215" s="223">
        <v>21</v>
      </c>
      <c r="C3215" s="223">
        <v>31</v>
      </c>
      <c r="D3215" s="223">
        <v>7</v>
      </c>
      <c r="E3215" s="223">
        <v>10500</v>
      </c>
    </row>
    <row r="3216" spans="1:5" ht="15">
      <c r="A3216" s="223" t="s">
        <v>205</v>
      </c>
      <c r="B3216" s="223">
        <v>21</v>
      </c>
      <c r="C3216" s="223">
        <v>31</v>
      </c>
      <c r="D3216" s="223">
        <v>8</v>
      </c>
      <c r="E3216" s="223">
        <v>1125</v>
      </c>
    </row>
    <row r="3217" spans="1:5" ht="15">
      <c r="A3217" s="223" t="s">
        <v>205</v>
      </c>
      <c r="B3217" s="223">
        <v>21</v>
      </c>
      <c r="C3217" s="223">
        <v>32</v>
      </c>
      <c r="D3217" s="223">
        <v>7</v>
      </c>
      <c r="E3217" s="223">
        <v>8500</v>
      </c>
    </row>
    <row r="3218" spans="1:5" ht="15">
      <c r="A3218" s="223" t="s">
        <v>205</v>
      </c>
      <c r="B3218" s="223">
        <v>24</v>
      </c>
      <c r="C3218" s="223">
        <v>27</v>
      </c>
      <c r="D3218" s="223">
        <v>2</v>
      </c>
      <c r="E3218" s="223">
        <v>1201899</v>
      </c>
    </row>
    <row r="3219" spans="1:5" ht="15">
      <c r="A3219" s="223" t="s">
        <v>205</v>
      </c>
      <c r="B3219" s="223">
        <v>24</v>
      </c>
      <c r="C3219" s="223">
        <v>27</v>
      </c>
      <c r="D3219" s="223">
        <v>3</v>
      </c>
      <c r="E3219" s="223">
        <v>37312</v>
      </c>
    </row>
    <row r="3220" spans="1:5" ht="15">
      <c r="A3220" s="223" t="s">
        <v>205</v>
      </c>
      <c r="B3220" s="223">
        <v>24</v>
      </c>
      <c r="C3220" s="223">
        <v>27</v>
      </c>
      <c r="D3220" s="223">
        <v>4</v>
      </c>
      <c r="E3220" s="223">
        <v>519676</v>
      </c>
    </row>
    <row r="3221" spans="1:5" ht="15">
      <c r="A3221" s="223" t="s">
        <v>207</v>
      </c>
      <c r="B3221" s="223">
        <v>21</v>
      </c>
      <c r="C3221" s="223">
        <v>27</v>
      </c>
      <c r="D3221" s="223">
        <v>2</v>
      </c>
      <c r="E3221" s="223">
        <v>295830</v>
      </c>
    </row>
    <row r="3222" spans="1:5" ht="15">
      <c r="A3222" s="223" t="s">
        <v>207</v>
      </c>
      <c r="B3222" s="223">
        <v>21</v>
      </c>
      <c r="C3222" s="223">
        <v>27</v>
      </c>
      <c r="D3222" s="223">
        <v>3</v>
      </c>
      <c r="E3222" s="223">
        <v>241588</v>
      </c>
    </row>
    <row r="3223" spans="1:5" ht="15">
      <c r="A3223" s="223" t="s">
        <v>207</v>
      </c>
      <c r="B3223" s="223">
        <v>21</v>
      </c>
      <c r="C3223" s="223">
        <v>27</v>
      </c>
      <c r="D3223" s="223">
        <v>4</v>
      </c>
      <c r="E3223" s="223">
        <v>312106</v>
      </c>
    </row>
    <row r="3224" spans="1:5" ht="15">
      <c r="A3224" s="223" t="s">
        <v>207</v>
      </c>
      <c r="B3224" s="223">
        <v>21</v>
      </c>
      <c r="C3224" s="223">
        <v>27</v>
      </c>
      <c r="D3224" s="223">
        <v>7</v>
      </c>
      <c r="E3224" s="223">
        <v>39403</v>
      </c>
    </row>
    <row r="3225" spans="1:5" ht="15">
      <c r="A3225" s="223" t="s">
        <v>207</v>
      </c>
      <c r="B3225" s="223">
        <v>21</v>
      </c>
      <c r="C3225" s="223">
        <v>29</v>
      </c>
      <c r="D3225" s="223">
        <v>7</v>
      </c>
      <c r="E3225" s="223">
        <v>200000</v>
      </c>
    </row>
    <row r="3226" spans="1:5" ht="15">
      <c r="A3226" s="223" t="s">
        <v>207</v>
      </c>
      <c r="B3226" s="223">
        <v>21</v>
      </c>
      <c r="C3226" s="223">
        <v>34</v>
      </c>
      <c r="D3226" s="223">
        <v>2</v>
      </c>
      <c r="E3226" s="223">
        <v>1119</v>
      </c>
    </row>
    <row r="3227" spans="1:5" ht="15">
      <c r="A3227" s="223" t="s">
        <v>207</v>
      </c>
      <c r="B3227" s="223">
        <v>21</v>
      </c>
      <c r="C3227" s="223">
        <v>34</v>
      </c>
      <c r="D3227" s="223">
        <v>4</v>
      </c>
      <c r="E3227" s="223">
        <v>501</v>
      </c>
    </row>
    <row r="3228" spans="1:5" ht="15">
      <c r="A3228" s="223" t="s">
        <v>207</v>
      </c>
      <c r="B3228" s="223">
        <v>24</v>
      </c>
      <c r="C3228" s="223">
        <v>26</v>
      </c>
      <c r="D3228" s="223">
        <v>7</v>
      </c>
      <c r="E3228" s="223">
        <v>123000</v>
      </c>
    </row>
    <row r="3229" spans="1:5" ht="15">
      <c r="A3229" s="223" t="s">
        <v>209</v>
      </c>
      <c r="B3229" s="223">
        <v>21</v>
      </c>
      <c r="C3229" s="223">
        <v>21</v>
      </c>
      <c r="D3229" s="223">
        <v>2</v>
      </c>
      <c r="E3229" s="223">
        <v>135273</v>
      </c>
    </row>
    <row r="3230" spans="1:5" ht="15">
      <c r="A3230" s="223" t="s">
        <v>209</v>
      </c>
      <c r="B3230" s="223">
        <v>21</v>
      </c>
      <c r="C3230" s="223">
        <v>21</v>
      </c>
      <c r="D3230" s="223">
        <v>4</v>
      </c>
      <c r="E3230" s="223">
        <v>43264</v>
      </c>
    </row>
    <row r="3231" spans="1:5" ht="15">
      <c r="A3231" s="223" t="s">
        <v>209</v>
      </c>
      <c r="B3231" s="223">
        <v>21</v>
      </c>
      <c r="C3231" s="223">
        <v>21</v>
      </c>
      <c r="D3231" s="223">
        <v>5</v>
      </c>
      <c r="E3231" s="223">
        <v>500</v>
      </c>
    </row>
    <row r="3232" spans="1:5" ht="15">
      <c r="A3232" s="223" t="s">
        <v>209</v>
      </c>
      <c r="B3232" s="223">
        <v>21</v>
      </c>
      <c r="C3232" s="223">
        <v>23</v>
      </c>
      <c r="D3232" s="223">
        <v>3</v>
      </c>
      <c r="E3232" s="223">
        <v>43235</v>
      </c>
    </row>
    <row r="3233" spans="1:5" ht="15">
      <c r="A3233" s="223" t="s">
        <v>209</v>
      </c>
      <c r="B3233" s="223">
        <v>21</v>
      </c>
      <c r="C3233" s="223">
        <v>23</v>
      </c>
      <c r="D3233" s="223">
        <v>4</v>
      </c>
      <c r="E3233" s="223">
        <v>21749</v>
      </c>
    </row>
    <row r="3234" spans="1:5" ht="15">
      <c r="A3234" s="223" t="s">
        <v>209</v>
      </c>
      <c r="B3234" s="223">
        <v>21</v>
      </c>
      <c r="C3234" s="223">
        <v>24</v>
      </c>
      <c r="D3234" s="223">
        <v>5</v>
      </c>
      <c r="E3234" s="223">
        <v>500</v>
      </c>
    </row>
    <row r="3235" spans="1:5" ht="15">
      <c r="A3235" s="223" t="s">
        <v>209</v>
      </c>
      <c r="B3235" s="223">
        <v>21</v>
      </c>
      <c r="C3235" s="223">
        <v>26</v>
      </c>
      <c r="D3235" s="223">
        <v>2</v>
      </c>
      <c r="E3235" s="223">
        <v>188204</v>
      </c>
    </row>
    <row r="3236" spans="1:5" ht="15">
      <c r="A3236" s="223" t="s">
        <v>209</v>
      </c>
      <c r="B3236" s="223">
        <v>21</v>
      </c>
      <c r="C3236" s="223">
        <v>26</v>
      </c>
      <c r="D3236" s="223">
        <v>3</v>
      </c>
      <c r="E3236" s="223">
        <v>267362</v>
      </c>
    </row>
    <row r="3237" spans="1:5" ht="15">
      <c r="A3237" s="223" t="s">
        <v>209</v>
      </c>
      <c r="B3237" s="223">
        <v>21</v>
      </c>
      <c r="C3237" s="223">
        <v>26</v>
      </c>
      <c r="D3237" s="223">
        <v>4</v>
      </c>
      <c r="E3237" s="223">
        <v>209951</v>
      </c>
    </row>
    <row r="3238" spans="1:5" ht="15">
      <c r="A3238" s="223" t="s">
        <v>209</v>
      </c>
      <c r="B3238" s="223">
        <v>21</v>
      </c>
      <c r="C3238" s="223">
        <v>26</v>
      </c>
      <c r="D3238" s="223">
        <v>5</v>
      </c>
      <c r="E3238" s="223">
        <v>250</v>
      </c>
    </row>
    <row r="3239" spans="1:5" ht="15">
      <c r="A3239" s="223" t="s">
        <v>209</v>
      </c>
      <c r="B3239" s="223">
        <v>21</v>
      </c>
      <c r="C3239" s="223">
        <v>26</v>
      </c>
      <c r="D3239" s="223">
        <v>7</v>
      </c>
      <c r="E3239" s="223">
        <v>75000</v>
      </c>
    </row>
    <row r="3240" spans="1:5" ht="15">
      <c r="A3240" s="223" t="s">
        <v>209</v>
      </c>
      <c r="B3240" s="223">
        <v>21</v>
      </c>
      <c r="C3240" s="223">
        <v>27</v>
      </c>
      <c r="D3240" s="223">
        <v>2</v>
      </c>
      <c r="E3240" s="223">
        <v>338770</v>
      </c>
    </row>
    <row r="3241" spans="1:5" ht="15">
      <c r="A3241" s="223" t="s">
        <v>209</v>
      </c>
      <c r="B3241" s="223">
        <v>21</v>
      </c>
      <c r="C3241" s="223">
        <v>27</v>
      </c>
      <c r="D3241" s="223">
        <v>3</v>
      </c>
      <c r="E3241" s="223">
        <v>88728</v>
      </c>
    </row>
    <row r="3242" spans="1:5" ht="15">
      <c r="A3242" s="223" t="s">
        <v>209</v>
      </c>
      <c r="B3242" s="223">
        <v>21</v>
      </c>
      <c r="C3242" s="223">
        <v>27</v>
      </c>
      <c r="D3242" s="223">
        <v>4</v>
      </c>
      <c r="E3242" s="223">
        <v>198101</v>
      </c>
    </row>
    <row r="3243" spans="1:5" ht="15">
      <c r="A3243" s="223" t="s">
        <v>209</v>
      </c>
      <c r="B3243" s="223">
        <v>21</v>
      </c>
      <c r="C3243" s="223">
        <v>27</v>
      </c>
      <c r="D3243" s="223">
        <v>5</v>
      </c>
      <c r="E3243" s="223">
        <v>2250</v>
      </c>
    </row>
    <row r="3244" spans="1:5" ht="15">
      <c r="A3244" s="223" t="s">
        <v>209</v>
      </c>
      <c r="B3244" s="223">
        <v>21</v>
      </c>
      <c r="C3244" s="223">
        <v>27</v>
      </c>
      <c r="D3244" s="223">
        <v>7</v>
      </c>
      <c r="E3244" s="223">
        <v>50000</v>
      </c>
    </row>
    <row r="3245" spans="1:5" ht="15">
      <c r="A3245" s="223" t="s">
        <v>209</v>
      </c>
      <c r="B3245" s="223">
        <v>24</v>
      </c>
      <c r="C3245" s="223">
        <v>26</v>
      </c>
      <c r="D3245" s="223">
        <v>5</v>
      </c>
      <c r="E3245" s="223">
        <v>24738</v>
      </c>
    </row>
    <row r="3246" spans="1:5" ht="15">
      <c r="A3246" s="223" t="s">
        <v>209</v>
      </c>
      <c r="B3246" s="223">
        <v>24</v>
      </c>
      <c r="C3246" s="223">
        <v>27</v>
      </c>
      <c r="D3246" s="223">
        <v>2</v>
      </c>
      <c r="E3246" s="223">
        <v>99203</v>
      </c>
    </row>
    <row r="3247" spans="1:5" ht="15">
      <c r="A3247" s="223" t="s">
        <v>209</v>
      </c>
      <c r="B3247" s="223">
        <v>24</v>
      </c>
      <c r="C3247" s="223">
        <v>27</v>
      </c>
      <c r="D3247" s="223">
        <v>4</v>
      </c>
      <c r="E3247" s="223">
        <v>40515</v>
      </c>
    </row>
    <row r="3248" spans="1:5" ht="15">
      <c r="A3248" s="223" t="s">
        <v>209</v>
      </c>
      <c r="B3248" s="223">
        <v>24</v>
      </c>
      <c r="C3248" s="223">
        <v>27</v>
      </c>
      <c r="D3248" s="223">
        <v>5</v>
      </c>
      <c r="E3248" s="223">
        <v>9548</v>
      </c>
    </row>
    <row r="3249" spans="1:5" ht="15">
      <c r="A3249" s="223" t="s">
        <v>209</v>
      </c>
      <c r="B3249" s="223">
        <v>24</v>
      </c>
      <c r="C3249" s="223">
        <v>27</v>
      </c>
      <c r="D3249" s="223">
        <v>7</v>
      </c>
      <c r="E3249" s="223">
        <v>45000</v>
      </c>
    </row>
    <row r="3250" spans="1:5" ht="15">
      <c r="A3250" s="223" t="s">
        <v>209</v>
      </c>
      <c r="B3250" s="223">
        <v>24</v>
      </c>
      <c r="C3250" s="223">
        <v>27</v>
      </c>
      <c r="D3250" s="223">
        <v>8</v>
      </c>
      <c r="E3250" s="223">
        <v>3000</v>
      </c>
    </row>
    <row r="3251" spans="1:5" ht="15">
      <c r="A3251" s="223" t="s">
        <v>211</v>
      </c>
      <c r="B3251" s="223">
        <v>21</v>
      </c>
      <c r="C3251" s="223">
        <v>21</v>
      </c>
      <c r="D3251" s="223">
        <v>2</v>
      </c>
      <c r="E3251" s="223">
        <v>140808</v>
      </c>
    </row>
    <row r="3252" spans="1:5" ht="15">
      <c r="A3252" s="223" t="s">
        <v>211</v>
      </c>
      <c r="B3252" s="223">
        <v>21</v>
      </c>
      <c r="C3252" s="223">
        <v>21</v>
      </c>
      <c r="D3252" s="223">
        <v>3</v>
      </c>
      <c r="E3252" s="223">
        <v>72597</v>
      </c>
    </row>
    <row r="3253" spans="1:5" ht="15">
      <c r="A3253" s="223" t="s">
        <v>211</v>
      </c>
      <c r="B3253" s="223">
        <v>21</v>
      </c>
      <c r="C3253" s="223">
        <v>21</v>
      </c>
      <c r="D3253" s="223">
        <v>4</v>
      </c>
      <c r="E3253" s="223">
        <v>73355</v>
      </c>
    </row>
    <row r="3254" spans="1:5" ht="15">
      <c r="A3254" s="223" t="s">
        <v>211</v>
      </c>
      <c r="B3254" s="223">
        <v>21</v>
      </c>
      <c r="C3254" s="223">
        <v>26</v>
      </c>
      <c r="D3254" s="223">
        <v>2</v>
      </c>
      <c r="E3254" s="223">
        <v>606450</v>
      </c>
    </row>
    <row r="3255" spans="1:5" ht="15">
      <c r="A3255" s="223" t="s">
        <v>211</v>
      </c>
      <c r="B3255" s="223">
        <v>21</v>
      </c>
      <c r="C3255" s="223">
        <v>26</v>
      </c>
      <c r="D3255" s="223">
        <v>4</v>
      </c>
      <c r="E3255" s="223">
        <v>225191</v>
      </c>
    </row>
    <row r="3256" spans="1:5" ht="15">
      <c r="A3256" s="223" t="s">
        <v>211</v>
      </c>
      <c r="B3256" s="223">
        <v>21</v>
      </c>
      <c r="C3256" s="223">
        <v>26</v>
      </c>
      <c r="D3256" s="223">
        <v>5</v>
      </c>
      <c r="E3256" s="223">
        <v>5000</v>
      </c>
    </row>
    <row r="3257" spans="1:5" ht="15">
      <c r="A3257" s="223" t="s">
        <v>211</v>
      </c>
      <c r="B3257" s="223">
        <v>21</v>
      </c>
      <c r="C3257" s="223">
        <v>26</v>
      </c>
      <c r="D3257" s="223">
        <v>7</v>
      </c>
      <c r="E3257" s="223">
        <v>99500</v>
      </c>
    </row>
    <row r="3258" spans="1:5" ht="15">
      <c r="A3258" s="223" t="s">
        <v>211</v>
      </c>
      <c r="B3258" s="223">
        <v>21</v>
      </c>
      <c r="C3258" s="223">
        <v>27</v>
      </c>
      <c r="D3258" s="223">
        <v>2</v>
      </c>
      <c r="E3258" s="223">
        <v>1075696</v>
      </c>
    </row>
    <row r="3259" spans="1:5" ht="15">
      <c r="A3259" s="223" t="s">
        <v>211</v>
      </c>
      <c r="B3259" s="223">
        <v>21</v>
      </c>
      <c r="C3259" s="223">
        <v>27</v>
      </c>
      <c r="D3259" s="223">
        <v>3</v>
      </c>
      <c r="E3259" s="223">
        <v>751608</v>
      </c>
    </row>
    <row r="3260" spans="1:5" ht="15">
      <c r="A3260" s="223" t="s">
        <v>211</v>
      </c>
      <c r="B3260" s="223">
        <v>21</v>
      </c>
      <c r="C3260" s="223">
        <v>27</v>
      </c>
      <c r="D3260" s="223">
        <v>4</v>
      </c>
      <c r="E3260" s="223">
        <v>866057</v>
      </c>
    </row>
    <row r="3261" spans="1:5" ht="15">
      <c r="A3261" s="223" t="s">
        <v>211</v>
      </c>
      <c r="B3261" s="223">
        <v>21</v>
      </c>
      <c r="C3261" s="223">
        <v>27</v>
      </c>
      <c r="D3261" s="223">
        <v>5</v>
      </c>
      <c r="E3261" s="223">
        <v>305500</v>
      </c>
    </row>
    <row r="3262" spans="1:5" ht="15">
      <c r="A3262" s="223" t="s">
        <v>211</v>
      </c>
      <c r="B3262" s="223">
        <v>21</v>
      </c>
      <c r="C3262" s="223">
        <v>29</v>
      </c>
      <c r="D3262" s="223">
        <v>7</v>
      </c>
      <c r="E3262" s="223">
        <v>190000</v>
      </c>
    </row>
    <row r="3263" spans="1:5" ht="15">
      <c r="A3263" s="223" t="s">
        <v>211</v>
      </c>
      <c r="B3263" s="223">
        <v>24</v>
      </c>
      <c r="C3263" s="223">
        <v>27</v>
      </c>
      <c r="D3263" s="223">
        <v>2</v>
      </c>
      <c r="E3263" s="223">
        <v>261989</v>
      </c>
    </row>
    <row r="3264" spans="1:5" ht="15">
      <c r="A3264" s="223" t="s">
        <v>211</v>
      </c>
      <c r="B3264" s="223">
        <v>24</v>
      </c>
      <c r="C3264" s="223">
        <v>27</v>
      </c>
      <c r="D3264" s="223">
        <v>4</v>
      </c>
      <c r="E3264" s="223">
        <v>117539</v>
      </c>
    </row>
    <row r="3265" spans="1:5" ht="15">
      <c r="A3265" s="223" t="s">
        <v>211</v>
      </c>
      <c r="B3265" s="223">
        <v>24</v>
      </c>
      <c r="C3265" s="223">
        <v>29</v>
      </c>
      <c r="D3265" s="223">
        <v>7</v>
      </c>
      <c r="E3265" s="223">
        <v>20000</v>
      </c>
    </row>
    <row r="3266" spans="1:5" ht="15">
      <c r="A3266" s="223" t="s">
        <v>87</v>
      </c>
      <c r="B3266" s="223">
        <v>21</v>
      </c>
      <c r="C3266" s="223">
        <v>27</v>
      </c>
      <c r="D3266" s="223">
        <v>7</v>
      </c>
      <c r="E3266" s="223">
        <v>52093</v>
      </c>
    </row>
    <row r="3267" spans="1:5" ht="15">
      <c r="A3267" s="223" t="s">
        <v>89</v>
      </c>
      <c r="B3267" s="223">
        <v>21</v>
      </c>
      <c r="C3267" s="223">
        <v>21</v>
      </c>
      <c r="D3267" s="223">
        <v>2</v>
      </c>
      <c r="E3267" s="223">
        <v>365043</v>
      </c>
    </row>
    <row r="3268" spans="1:5" ht="15">
      <c r="A3268" s="223" t="s">
        <v>89</v>
      </c>
      <c r="B3268" s="223">
        <v>21</v>
      </c>
      <c r="C3268" s="223">
        <v>21</v>
      </c>
      <c r="D3268" s="223">
        <v>3</v>
      </c>
      <c r="E3268" s="223">
        <v>234439</v>
      </c>
    </row>
    <row r="3269" spans="1:5" ht="15">
      <c r="A3269" s="223" t="s">
        <v>89</v>
      </c>
      <c r="B3269" s="223">
        <v>21</v>
      </c>
      <c r="C3269" s="223">
        <v>21</v>
      </c>
      <c r="D3269" s="223">
        <v>4</v>
      </c>
      <c r="E3269" s="223">
        <v>204873</v>
      </c>
    </row>
    <row r="3270" spans="1:5" ht="15">
      <c r="A3270" s="223" t="s">
        <v>89</v>
      </c>
      <c r="B3270" s="223">
        <v>21</v>
      </c>
      <c r="C3270" s="223">
        <v>21</v>
      </c>
      <c r="D3270" s="223">
        <v>5</v>
      </c>
      <c r="E3270" s="223">
        <v>10631</v>
      </c>
    </row>
    <row r="3271" spans="1:5" ht="15">
      <c r="A3271" s="223" t="s">
        <v>89</v>
      </c>
      <c r="B3271" s="223">
        <v>21</v>
      </c>
      <c r="C3271" s="223">
        <v>21</v>
      </c>
      <c r="D3271" s="223">
        <v>7</v>
      </c>
      <c r="E3271" s="223">
        <v>50000</v>
      </c>
    </row>
    <row r="3272" spans="1:5" ht="15">
      <c r="A3272" s="223" t="s">
        <v>89</v>
      </c>
      <c r="B3272" s="223">
        <v>21</v>
      </c>
      <c r="C3272" s="223">
        <v>26</v>
      </c>
      <c r="D3272" s="223">
        <v>2</v>
      </c>
      <c r="E3272" s="223">
        <v>1406839</v>
      </c>
    </row>
    <row r="3273" spans="1:5" ht="15">
      <c r="A3273" s="223" t="s">
        <v>89</v>
      </c>
      <c r="B3273" s="223">
        <v>21</v>
      </c>
      <c r="C3273" s="223">
        <v>26</v>
      </c>
      <c r="D3273" s="223">
        <v>3</v>
      </c>
      <c r="E3273" s="223">
        <v>95819</v>
      </c>
    </row>
    <row r="3274" spans="1:5" ht="15">
      <c r="A3274" s="223" t="s">
        <v>89</v>
      </c>
      <c r="B3274" s="223">
        <v>21</v>
      </c>
      <c r="C3274" s="223">
        <v>26</v>
      </c>
      <c r="D3274" s="223">
        <v>4</v>
      </c>
      <c r="E3274" s="223">
        <v>522740</v>
      </c>
    </row>
    <row r="3275" spans="1:5" ht="15">
      <c r="A3275" s="223" t="s">
        <v>89</v>
      </c>
      <c r="B3275" s="223">
        <v>21</v>
      </c>
      <c r="C3275" s="223">
        <v>26</v>
      </c>
      <c r="D3275" s="223">
        <v>5</v>
      </c>
      <c r="E3275" s="223">
        <v>6000</v>
      </c>
    </row>
    <row r="3276" spans="1:5" ht="15">
      <c r="A3276" s="223" t="s">
        <v>89</v>
      </c>
      <c r="B3276" s="223">
        <v>21</v>
      </c>
      <c r="C3276" s="223">
        <v>26</v>
      </c>
      <c r="D3276" s="223">
        <v>7</v>
      </c>
      <c r="E3276" s="223">
        <v>62150</v>
      </c>
    </row>
    <row r="3277" spans="1:5" ht="15">
      <c r="A3277" s="223" t="s">
        <v>89</v>
      </c>
      <c r="B3277" s="223">
        <v>21</v>
      </c>
      <c r="C3277" s="223">
        <v>26</v>
      </c>
      <c r="D3277" s="223">
        <v>8</v>
      </c>
      <c r="E3277" s="223">
        <v>5000</v>
      </c>
    </row>
    <row r="3278" spans="1:5" ht="15">
      <c r="A3278" s="223" t="s">
        <v>89</v>
      </c>
      <c r="B3278" s="223">
        <v>21</v>
      </c>
      <c r="C3278" s="223">
        <v>27</v>
      </c>
      <c r="D3278" s="223">
        <v>2</v>
      </c>
      <c r="E3278" s="223">
        <v>4223364</v>
      </c>
    </row>
    <row r="3279" spans="1:5" ht="15">
      <c r="A3279" s="223" t="s">
        <v>89</v>
      </c>
      <c r="B3279" s="223">
        <v>21</v>
      </c>
      <c r="C3279" s="223">
        <v>27</v>
      </c>
      <c r="D3279" s="223">
        <v>3</v>
      </c>
      <c r="E3279" s="223">
        <v>4165559</v>
      </c>
    </row>
    <row r="3280" spans="1:5" ht="15">
      <c r="A3280" s="223" t="s">
        <v>89</v>
      </c>
      <c r="B3280" s="223">
        <v>21</v>
      </c>
      <c r="C3280" s="223">
        <v>27</v>
      </c>
      <c r="D3280" s="223">
        <v>4</v>
      </c>
      <c r="E3280" s="223">
        <v>4002337</v>
      </c>
    </row>
    <row r="3281" spans="1:5" ht="15">
      <c r="A3281" s="223" t="s">
        <v>89</v>
      </c>
      <c r="B3281" s="223">
        <v>21</v>
      </c>
      <c r="C3281" s="223">
        <v>27</v>
      </c>
      <c r="D3281" s="223">
        <v>5</v>
      </c>
      <c r="E3281" s="223">
        <v>61869</v>
      </c>
    </row>
    <row r="3282" spans="1:5" ht="15">
      <c r="A3282" s="223" t="s">
        <v>89</v>
      </c>
      <c r="B3282" s="223">
        <v>21</v>
      </c>
      <c r="C3282" s="223">
        <v>27</v>
      </c>
      <c r="D3282" s="223">
        <v>7</v>
      </c>
      <c r="E3282" s="223">
        <v>2016000</v>
      </c>
    </row>
    <row r="3283" spans="1:5" ht="15">
      <c r="A3283" s="223" t="s">
        <v>89</v>
      </c>
      <c r="B3283" s="223">
        <v>21</v>
      </c>
      <c r="C3283" s="223">
        <v>27</v>
      </c>
      <c r="D3283" s="223">
        <v>8</v>
      </c>
      <c r="E3283" s="223">
        <v>1000</v>
      </c>
    </row>
    <row r="3284" spans="1:5" ht="15">
      <c r="A3284" s="223" t="s">
        <v>89</v>
      </c>
      <c r="B3284" s="223">
        <v>21</v>
      </c>
      <c r="C3284" s="223">
        <v>31</v>
      </c>
      <c r="D3284" s="223">
        <v>2</v>
      </c>
      <c r="E3284" s="223">
        <v>133320</v>
      </c>
    </row>
    <row r="3285" spans="1:5" ht="15">
      <c r="A3285" s="223" t="s">
        <v>89</v>
      </c>
      <c r="B3285" s="223">
        <v>21</v>
      </c>
      <c r="C3285" s="223">
        <v>31</v>
      </c>
      <c r="D3285" s="223">
        <v>4</v>
      </c>
      <c r="E3285" s="223">
        <v>30228</v>
      </c>
    </row>
    <row r="3286" spans="1:5" ht="15">
      <c r="A3286" s="223" t="s">
        <v>89</v>
      </c>
      <c r="B3286" s="223">
        <v>21</v>
      </c>
      <c r="C3286" s="223">
        <v>31</v>
      </c>
      <c r="D3286" s="223">
        <v>7</v>
      </c>
      <c r="E3286" s="223">
        <v>500</v>
      </c>
    </row>
    <row r="3287" spans="1:5" ht="15">
      <c r="A3287" s="223" t="s">
        <v>89</v>
      </c>
      <c r="B3287" s="223">
        <v>21</v>
      </c>
      <c r="C3287" s="223">
        <v>32</v>
      </c>
      <c r="D3287" s="223">
        <v>5</v>
      </c>
      <c r="E3287" s="223">
        <v>1000</v>
      </c>
    </row>
    <row r="3288" spans="1:5" ht="15">
      <c r="A3288" s="223" t="s">
        <v>89</v>
      </c>
      <c r="B3288" s="223">
        <v>21</v>
      </c>
      <c r="C3288" s="223">
        <v>32</v>
      </c>
      <c r="D3288" s="223">
        <v>7</v>
      </c>
      <c r="E3288" s="223">
        <v>1000</v>
      </c>
    </row>
    <row r="3289" spans="1:5" ht="15">
      <c r="A3289" s="223" t="s">
        <v>89</v>
      </c>
      <c r="B3289" s="223">
        <v>23</v>
      </c>
      <c r="C3289" s="223">
        <v>27</v>
      </c>
      <c r="D3289" s="223">
        <v>3</v>
      </c>
      <c r="E3289" s="223">
        <v>250000</v>
      </c>
    </row>
    <row r="3290" spans="1:5" ht="15">
      <c r="A3290" s="223" t="s">
        <v>89</v>
      </c>
      <c r="B3290" s="223">
        <v>23</v>
      </c>
      <c r="C3290" s="223">
        <v>27</v>
      </c>
      <c r="D3290" s="223">
        <v>4</v>
      </c>
      <c r="E3290" s="223">
        <v>21035</v>
      </c>
    </row>
    <row r="3291" spans="1:5" ht="15">
      <c r="A3291" s="223" t="s">
        <v>89</v>
      </c>
      <c r="B3291" s="223">
        <v>23</v>
      </c>
      <c r="C3291" s="223">
        <v>27</v>
      </c>
      <c r="D3291" s="223">
        <v>5</v>
      </c>
      <c r="E3291" s="223">
        <v>30000</v>
      </c>
    </row>
    <row r="3292" spans="1:5" ht="15">
      <c r="A3292" s="223" t="s">
        <v>89</v>
      </c>
      <c r="B3292" s="223">
        <v>23</v>
      </c>
      <c r="C3292" s="223">
        <v>27</v>
      </c>
      <c r="D3292" s="223">
        <v>7</v>
      </c>
      <c r="E3292" s="223">
        <v>59365</v>
      </c>
    </row>
    <row r="3293" spans="1:5" ht="15">
      <c r="A3293" s="223" t="s">
        <v>89</v>
      </c>
      <c r="B3293" s="223">
        <v>24</v>
      </c>
      <c r="C3293" s="223">
        <v>26</v>
      </c>
      <c r="D3293" s="223">
        <v>2</v>
      </c>
      <c r="E3293" s="223">
        <v>526672</v>
      </c>
    </row>
    <row r="3294" spans="1:5" ht="15">
      <c r="A3294" s="223" t="s">
        <v>89</v>
      </c>
      <c r="B3294" s="223">
        <v>24</v>
      </c>
      <c r="C3294" s="223">
        <v>26</v>
      </c>
      <c r="D3294" s="223">
        <v>4</v>
      </c>
      <c r="E3294" s="223">
        <v>187154</v>
      </c>
    </row>
    <row r="3295" spans="1:5" ht="15">
      <c r="A3295" s="223" t="s">
        <v>89</v>
      </c>
      <c r="B3295" s="223">
        <v>24</v>
      </c>
      <c r="C3295" s="223">
        <v>26</v>
      </c>
      <c r="D3295" s="223">
        <v>7</v>
      </c>
      <c r="E3295" s="223">
        <v>387760</v>
      </c>
    </row>
    <row r="3296" spans="1:5" ht="15">
      <c r="A3296" s="223" t="s">
        <v>89</v>
      </c>
      <c r="B3296" s="223">
        <v>24</v>
      </c>
      <c r="C3296" s="223">
        <v>27</v>
      </c>
      <c r="D3296" s="223">
        <v>7</v>
      </c>
      <c r="E3296" s="223">
        <v>258736</v>
      </c>
    </row>
    <row r="3297" spans="1:5" ht="15">
      <c r="A3297" s="223" t="s">
        <v>90</v>
      </c>
      <c r="B3297" s="223">
        <v>21</v>
      </c>
      <c r="C3297" s="223">
        <v>21</v>
      </c>
      <c r="D3297" s="223">
        <v>2</v>
      </c>
      <c r="E3297" s="223">
        <v>615884</v>
      </c>
    </row>
    <row r="3298" spans="1:5" ht="15">
      <c r="A3298" s="223" t="s">
        <v>90</v>
      </c>
      <c r="B3298" s="223">
        <v>21</v>
      </c>
      <c r="C3298" s="223">
        <v>21</v>
      </c>
      <c r="D3298" s="223">
        <v>3</v>
      </c>
      <c r="E3298" s="223">
        <v>259132</v>
      </c>
    </row>
    <row r="3299" spans="1:5" ht="15">
      <c r="A3299" s="223" t="s">
        <v>90</v>
      </c>
      <c r="B3299" s="223">
        <v>21</v>
      </c>
      <c r="C3299" s="223">
        <v>21</v>
      </c>
      <c r="D3299" s="223">
        <v>4</v>
      </c>
      <c r="E3299" s="223">
        <v>281415</v>
      </c>
    </row>
    <row r="3300" spans="1:5" ht="15">
      <c r="A3300" s="223" t="s">
        <v>90</v>
      </c>
      <c r="B3300" s="223">
        <v>21</v>
      </c>
      <c r="C3300" s="223">
        <v>21</v>
      </c>
      <c r="D3300" s="223">
        <v>5</v>
      </c>
      <c r="E3300" s="223">
        <v>8500</v>
      </c>
    </row>
    <row r="3301" spans="1:5" ht="15">
      <c r="A3301" s="223" t="s">
        <v>90</v>
      </c>
      <c r="B3301" s="223">
        <v>21</v>
      </c>
      <c r="C3301" s="223">
        <v>21</v>
      </c>
      <c r="D3301" s="223">
        <v>7</v>
      </c>
      <c r="E3301" s="223">
        <v>7600</v>
      </c>
    </row>
    <row r="3302" spans="1:5" ht="15">
      <c r="A3302" s="223" t="s">
        <v>90</v>
      </c>
      <c r="B3302" s="223">
        <v>21</v>
      </c>
      <c r="C3302" s="223">
        <v>21</v>
      </c>
      <c r="D3302" s="223">
        <v>8</v>
      </c>
      <c r="E3302" s="223">
        <v>3000</v>
      </c>
    </row>
    <row r="3303" spans="1:5" ht="15">
      <c r="A3303" s="223" t="s">
        <v>90</v>
      </c>
      <c r="B3303" s="223">
        <v>21</v>
      </c>
      <c r="C3303" s="223">
        <v>26</v>
      </c>
      <c r="D3303" s="223">
        <v>2</v>
      </c>
      <c r="E3303" s="223">
        <v>8304027</v>
      </c>
    </row>
    <row r="3304" spans="1:5" ht="15">
      <c r="A3304" s="223" t="s">
        <v>90</v>
      </c>
      <c r="B3304" s="223">
        <v>21</v>
      </c>
      <c r="C3304" s="223">
        <v>26</v>
      </c>
      <c r="D3304" s="223">
        <v>3</v>
      </c>
      <c r="E3304" s="223">
        <v>163037</v>
      </c>
    </row>
    <row r="3305" spans="1:5" ht="15">
      <c r="A3305" s="223" t="s">
        <v>90</v>
      </c>
      <c r="B3305" s="223">
        <v>21</v>
      </c>
      <c r="C3305" s="223">
        <v>26</v>
      </c>
      <c r="D3305" s="223">
        <v>4</v>
      </c>
      <c r="E3305" s="223">
        <v>2863234</v>
      </c>
    </row>
    <row r="3306" spans="1:5" ht="15">
      <c r="A3306" s="223" t="s">
        <v>90</v>
      </c>
      <c r="B3306" s="223">
        <v>21</v>
      </c>
      <c r="C3306" s="223">
        <v>26</v>
      </c>
      <c r="D3306" s="223">
        <v>5</v>
      </c>
      <c r="E3306" s="223">
        <v>70500</v>
      </c>
    </row>
    <row r="3307" spans="1:5" ht="15">
      <c r="A3307" s="223" t="s">
        <v>90</v>
      </c>
      <c r="B3307" s="223">
        <v>21</v>
      </c>
      <c r="C3307" s="223">
        <v>26</v>
      </c>
      <c r="D3307" s="223">
        <v>7</v>
      </c>
      <c r="E3307" s="223">
        <v>22400</v>
      </c>
    </row>
    <row r="3308" spans="1:5" ht="15">
      <c r="A3308" s="223" t="s">
        <v>90</v>
      </c>
      <c r="B3308" s="223">
        <v>21</v>
      </c>
      <c r="C3308" s="223">
        <v>26</v>
      </c>
      <c r="D3308" s="223">
        <v>8</v>
      </c>
      <c r="E3308" s="223">
        <v>5000</v>
      </c>
    </row>
    <row r="3309" spans="1:5" ht="15">
      <c r="A3309" s="223" t="s">
        <v>90</v>
      </c>
      <c r="B3309" s="223">
        <v>21</v>
      </c>
      <c r="C3309" s="223">
        <v>26</v>
      </c>
      <c r="D3309" s="223">
        <v>9</v>
      </c>
      <c r="E3309" s="223">
        <v>5800</v>
      </c>
    </row>
    <row r="3310" spans="1:5" ht="15">
      <c r="A3310" s="223" t="s">
        <v>90</v>
      </c>
      <c r="B3310" s="223">
        <v>21</v>
      </c>
      <c r="C3310" s="223">
        <v>27</v>
      </c>
      <c r="D3310" s="223">
        <v>2</v>
      </c>
      <c r="E3310" s="223">
        <v>11174738</v>
      </c>
    </row>
    <row r="3311" spans="1:5" ht="15">
      <c r="A3311" s="223" t="s">
        <v>90</v>
      </c>
      <c r="B3311" s="223">
        <v>21</v>
      </c>
      <c r="C3311" s="223">
        <v>27</v>
      </c>
      <c r="D3311" s="223">
        <v>3</v>
      </c>
      <c r="E3311" s="223">
        <v>9964431</v>
      </c>
    </row>
    <row r="3312" spans="1:5" ht="15">
      <c r="A3312" s="223" t="s">
        <v>90</v>
      </c>
      <c r="B3312" s="223">
        <v>21</v>
      </c>
      <c r="C3312" s="223">
        <v>27</v>
      </c>
      <c r="D3312" s="223">
        <v>4</v>
      </c>
      <c r="E3312" s="223">
        <v>8239225</v>
      </c>
    </row>
    <row r="3313" spans="1:5" ht="15">
      <c r="A3313" s="223" t="s">
        <v>90</v>
      </c>
      <c r="B3313" s="223">
        <v>21</v>
      </c>
      <c r="C3313" s="223">
        <v>27</v>
      </c>
      <c r="D3313" s="223">
        <v>5</v>
      </c>
      <c r="E3313" s="223">
        <v>125500</v>
      </c>
    </row>
    <row r="3314" spans="1:5" ht="15">
      <c r="A3314" s="223" t="s">
        <v>90</v>
      </c>
      <c r="B3314" s="223">
        <v>21</v>
      </c>
      <c r="C3314" s="223">
        <v>27</v>
      </c>
      <c r="D3314" s="223">
        <v>7</v>
      </c>
      <c r="E3314" s="223">
        <v>498100</v>
      </c>
    </row>
    <row r="3315" spans="1:5" ht="15">
      <c r="A3315" s="223" t="s">
        <v>90</v>
      </c>
      <c r="B3315" s="223">
        <v>21</v>
      </c>
      <c r="C3315" s="223">
        <v>27</v>
      </c>
      <c r="D3315" s="223">
        <v>8</v>
      </c>
      <c r="E3315" s="223">
        <v>1300</v>
      </c>
    </row>
    <row r="3316" spans="1:5" ht="15">
      <c r="A3316" s="223" t="s">
        <v>90</v>
      </c>
      <c r="B3316" s="223">
        <v>21</v>
      </c>
      <c r="C3316" s="223">
        <v>29</v>
      </c>
      <c r="D3316" s="223">
        <v>7</v>
      </c>
      <c r="E3316" s="223">
        <v>50000</v>
      </c>
    </row>
    <row r="3317" spans="1:5" ht="15">
      <c r="A3317" s="223" t="s">
        <v>90</v>
      </c>
      <c r="B3317" s="223">
        <v>21</v>
      </c>
      <c r="C3317" s="223">
        <v>31</v>
      </c>
      <c r="D3317" s="223">
        <v>2</v>
      </c>
      <c r="E3317" s="223">
        <v>142601</v>
      </c>
    </row>
    <row r="3318" spans="1:5" ht="15">
      <c r="A3318" s="223" t="s">
        <v>90</v>
      </c>
      <c r="B3318" s="223">
        <v>21</v>
      </c>
      <c r="C3318" s="223">
        <v>31</v>
      </c>
      <c r="D3318" s="223">
        <v>4</v>
      </c>
      <c r="E3318" s="223">
        <v>45419</v>
      </c>
    </row>
    <row r="3319" spans="1:5" ht="15">
      <c r="A3319" s="223" t="s">
        <v>90</v>
      </c>
      <c r="B3319" s="223">
        <v>21</v>
      </c>
      <c r="C3319" s="223">
        <v>34</v>
      </c>
      <c r="D3319" s="223">
        <v>2</v>
      </c>
      <c r="E3319" s="223">
        <v>272923</v>
      </c>
    </row>
    <row r="3320" spans="1:5" ht="15">
      <c r="A3320" s="223" t="s">
        <v>90</v>
      </c>
      <c r="B3320" s="223">
        <v>21</v>
      </c>
      <c r="C3320" s="223">
        <v>34</v>
      </c>
      <c r="D3320" s="223">
        <v>4</v>
      </c>
      <c r="E3320" s="223">
        <v>64078</v>
      </c>
    </row>
    <row r="3321" spans="1:5" ht="15">
      <c r="A3321" s="223" t="s">
        <v>90</v>
      </c>
      <c r="B3321" s="223">
        <v>24</v>
      </c>
      <c r="C3321" s="223">
        <v>21</v>
      </c>
      <c r="D3321" s="223">
        <v>2</v>
      </c>
      <c r="E3321" s="223">
        <v>104548</v>
      </c>
    </row>
    <row r="3322" spans="1:5" ht="15">
      <c r="A3322" s="223" t="s">
        <v>90</v>
      </c>
      <c r="B3322" s="223">
        <v>24</v>
      </c>
      <c r="C3322" s="223">
        <v>21</v>
      </c>
      <c r="D3322" s="223">
        <v>4</v>
      </c>
      <c r="E3322" s="223">
        <v>31002</v>
      </c>
    </row>
    <row r="3323" spans="1:5" ht="15">
      <c r="A3323" s="223" t="s">
        <v>90</v>
      </c>
      <c r="B3323" s="223">
        <v>24</v>
      </c>
      <c r="C3323" s="223">
        <v>21</v>
      </c>
      <c r="D3323" s="223">
        <v>5</v>
      </c>
      <c r="E3323" s="223">
        <v>3488</v>
      </c>
    </row>
    <row r="3324" spans="1:5" ht="15">
      <c r="A3324" s="223" t="s">
        <v>90</v>
      </c>
      <c r="B3324" s="223">
        <v>24</v>
      </c>
      <c r="C3324" s="223">
        <v>26</v>
      </c>
      <c r="D3324" s="223">
        <v>2</v>
      </c>
      <c r="E3324" s="223">
        <v>1419868</v>
      </c>
    </row>
    <row r="3325" spans="1:5" ht="15">
      <c r="A3325" s="223" t="s">
        <v>90</v>
      </c>
      <c r="B3325" s="223">
        <v>24</v>
      </c>
      <c r="C3325" s="223">
        <v>26</v>
      </c>
      <c r="D3325" s="223">
        <v>4</v>
      </c>
      <c r="E3325" s="223">
        <v>467046</v>
      </c>
    </row>
    <row r="3326" spans="1:5" ht="15">
      <c r="A3326" s="223" t="s">
        <v>90</v>
      </c>
      <c r="B3326" s="223">
        <v>24</v>
      </c>
      <c r="C3326" s="223">
        <v>27</v>
      </c>
      <c r="D3326" s="223">
        <v>2</v>
      </c>
      <c r="E3326" s="223">
        <v>893639</v>
      </c>
    </row>
    <row r="3327" spans="1:5" ht="15">
      <c r="A3327" s="223" t="s">
        <v>90</v>
      </c>
      <c r="B3327" s="223">
        <v>24</v>
      </c>
      <c r="C3327" s="223">
        <v>27</v>
      </c>
      <c r="D3327" s="223">
        <v>4</v>
      </c>
      <c r="E3327" s="223">
        <v>289249</v>
      </c>
    </row>
    <row r="3328" spans="1:5" ht="15">
      <c r="A3328" s="223" t="s">
        <v>90</v>
      </c>
      <c r="B3328" s="223">
        <v>24</v>
      </c>
      <c r="C3328" s="223">
        <v>27</v>
      </c>
      <c r="D3328" s="223">
        <v>5</v>
      </c>
      <c r="E3328" s="223">
        <v>78</v>
      </c>
    </row>
    <row r="3329" spans="1:5" ht="15">
      <c r="A3329" s="223" t="s">
        <v>92</v>
      </c>
      <c r="B3329" s="223">
        <v>21</v>
      </c>
      <c r="C3329" s="223">
        <v>21</v>
      </c>
      <c r="D3329" s="223">
        <v>2</v>
      </c>
      <c r="E3329" s="223">
        <v>111928</v>
      </c>
    </row>
    <row r="3330" spans="1:5" ht="15">
      <c r="A3330" s="223" t="s">
        <v>92</v>
      </c>
      <c r="B3330" s="223">
        <v>21</v>
      </c>
      <c r="C3330" s="223">
        <v>21</v>
      </c>
      <c r="D3330" s="223">
        <v>3</v>
      </c>
      <c r="E3330" s="223">
        <v>30356</v>
      </c>
    </row>
    <row r="3331" spans="1:5" ht="15">
      <c r="A3331" s="223" t="s">
        <v>92</v>
      </c>
      <c r="B3331" s="223">
        <v>21</v>
      </c>
      <c r="C3331" s="223">
        <v>21</v>
      </c>
      <c r="D3331" s="223">
        <v>4</v>
      </c>
      <c r="E3331" s="223">
        <v>49868</v>
      </c>
    </row>
    <row r="3332" spans="1:5" ht="15">
      <c r="A3332" s="223" t="s">
        <v>92</v>
      </c>
      <c r="B3332" s="223">
        <v>21</v>
      </c>
      <c r="C3332" s="223">
        <v>21</v>
      </c>
      <c r="D3332" s="223">
        <v>5</v>
      </c>
      <c r="E3332" s="223">
        <v>1000</v>
      </c>
    </row>
    <row r="3333" spans="1:5" ht="15">
      <c r="A3333" s="223" t="s">
        <v>92</v>
      </c>
      <c r="B3333" s="223">
        <v>21</v>
      </c>
      <c r="C3333" s="223">
        <v>21</v>
      </c>
      <c r="D3333" s="223">
        <v>7</v>
      </c>
      <c r="E3333" s="223">
        <v>2900</v>
      </c>
    </row>
    <row r="3334" spans="1:5" ht="15">
      <c r="A3334" s="223" t="s">
        <v>92</v>
      </c>
      <c r="B3334" s="223">
        <v>21</v>
      </c>
      <c r="C3334" s="223">
        <v>25</v>
      </c>
      <c r="D3334" s="223">
        <v>3</v>
      </c>
      <c r="E3334" s="223">
        <v>6573</v>
      </c>
    </row>
    <row r="3335" spans="1:5" ht="15">
      <c r="A3335" s="223" t="s">
        <v>92</v>
      </c>
      <c r="B3335" s="223">
        <v>21</v>
      </c>
      <c r="C3335" s="223">
        <v>25</v>
      </c>
      <c r="D3335" s="223">
        <v>4</v>
      </c>
      <c r="E3335" s="223">
        <v>4351</v>
      </c>
    </row>
    <row r="3336" spans="1:5" ht="15">
      <c r="A3336" s="223" t="s">
        <v>92</v>
      </c>
      <c r="B3336" s="223">
        <v>21</v>
      </c>
      <c r="C3336" s="223">
        <v>25</v>
      </c>
      <c r="D3336" s="223">
        <v>7</v>
      </c>
      <c r="E3336" s="223">
        <v>5000</v>
      </c>
    </row>
    <row r="3337" spans="1:5" ht="15">
      <c r="A3337" s="223" t="s">
        <v>92</v>
      </c>
      <c r="B3337" s="223">
        <v>21</v>
      </c>
      <c r="C3337" s="223">
        <v>26</v>
      </c>
      <c r="D3337" s="223">
        <v>2</v>
      </c>
      <c r="E3337" s="223">
        <v>291692</v>
      </c>
    </row>
    <row r="3338" spans="1:5" ht="15">
      <c r="A3338" s="223" t="s">
        <v>92</v>
      </c>
      <c r="B3338" s="223">
        <v>21</v>
      </c>
      <c r="C3338" s="223">
        <v>26</v>
      </c>
      <c r="D3338" s="223">
        <v>3</v>
      </c>
      <c r="E3338" s="223">
        <v>39834</v>
      </c>
    </row>
    <row r="3339" spans="1:5" ht="15">
      <c r="A3339" s="223" t="s">
        <v>92</v>
      </c>
      <c r="B3339" s="223">
        <v>21</v>
      </c>
      <c r="C3339" s="223">
        <v>26</v>
      </c>
      <c r="D3339" s="223">
        <v>4</v>
      </c>
      <c r="E3339" s="223">
        <v>128066</v>
      </c>
    </row>
    <row r="3340" spans="1:5" ht="15">
      <c r="A3340" s="223" t="s">
        <v>92</v>
      </c>
      <c r="B3340" s="223">
        <v>21</v>
      </c>
      <c r="C3340" s="223">
        <v>26</v>
      </c>
      <c r="D3340" s="223">
        <v>5</v>
      </c>
      <c r="E3340" s="223">
        <v>350</v>
      </c>
    </row>
    <row r="3341" spans="1:5" ht="15">
      <c r="A3341" s="223" t="s">
        <v>92</v>
      </c>
      <c r="B3341" s="223">
        <v>21</v>
      </c>
      <c r="C3341" s="223">
        <v>27</v>
      </c>
      <c r="D3341" s="223">
        <v>2</v>
      </c>
      <c r="E3341" s="223">
        <v>532730</v>
      </c>
    </row>
    <row r="3342" spans="1:5" ht="15">
      <c r="A3342" s="223" t="s">
        <v>92</v>
      </c>
      <c r="B3342" s="223">
        <v>21</v>
      </c>
      <c r="C3342" s="223">
        <v>27</v>
      </c>
      <c r="D3342" s="223">
        <v>3</v>
      </c>
      <c r="E3342" s="223">
        <v>89731</v>
      </c>
    </row>
    <row r="3343" spans="1:5" ht="15">
      <c r="A3343" s="223" t="s">
        <v>92</v>
      </c>
      <c r="B3343" s="223">
        <v>21</v>
      </c>
      <c r="C3343" s="223">
        <v>27</v>
      </c>
      <c r="D3343" s="223">
        <v>4</v>
      </c>
      <c r="E3343" s="223">
        <v>267737</v>
      </c>
    </row>
    <row r="3344" spans="1:5" ht="15">
      <c r="A3344" s="223" t="s">
        <v>92</v>
      </c>
      <c r="B3344" s="223">
        <v>21</v>
      </c>
      <c r="C3344" s="223">
        <v>27</v>
      </c>
      <c r="D3344" s="223">
        <v>5</v>
      </c>
      <c r="E3344" s="223">
        <v>3000</v>
      </c>
    </row>
    <row r="3345" spans="1:5" ht="15">
      <c r="A3345" s="223" t="s">
        <v>92</v>
      </c>
      <c r="B3345" s="223">
        <v>21</v>
      </c>
      <c r="C3345" s="223">
        <v>27</v>
      </c>
      <c r="D3345" s="223">
        <v>7</v>
      </c>
      <c r="E3345" s="223">
        <v>102500</v>
      </c>
    </row>
    <row r="3346" spans="1:5" ht="15">
      <c r="A3346" s="223" t="s">
        <v>92</v>
      </c>
      <c r="B3346" s="223">
        <v>21</v>
      </c>
      <c r="C3346" s="223">
        <v>29</v>
      </c>
      <c r="D3346" s="223">
        <v>7</v>
      </c>
      <c r="E3346" s="223">
        <v>75000</v>
      </c>
    </row>
    <row r="3347" spans="1:5" ht="15">
      <c r="A3347" s="223" t="s">
        <v>92</v>
      </c>
      <c r="B3347" s="223">
        <v>21</v>
      </c>
      <c r="C3347" s="223">
        <v>31</v>
      </c>
      <c r="D3347" s="223">
        <v>2</v>
      </c>
      <c r="E3347" s="223">
        <v>6323</v>
      </c>
    </row>
    <row r="3348" spans="1:5" ht="15">
      <c r="A3348" s="223" t="s">
        <v>92</v>
      </c>
      <c r="B3348" s="223">
        <v>21</v>
      </c>
      <c r="C3348" s="223">
        <v>31</v>
      </c>
      <c r="D3348" s="223">
        <v>3</v>
      </c>
      <c r="E3348" s="223">
        <v>2022</v>
      </c>
    </row>
    <row r="3349" spans="1:5" ht="15">
      <c r="A3349" s="223" t="s">
        <v>92</v>
      </c>
      <c r="B3349" s="223">
        <v>21</v>
      </c>
      <c r="C3349" s="223">
        <v>31</v>
      </c>
      <c r="D3349" s="223">
        <v>4</v>
      </c>
      <c r="E3349" s="223">
        <v>1729</v>
      </c>
    </row>
    <row r="3350" spans="1:5" ht="15">
      <c r="A3350" s="223" t="s">
        <v>92</v>
      </c>
      <c r="B3350" s="223">
        <v>21</v>
      </c>
      <c r="C3350" s="223">
        <v>31</v>
      </c>
      <c r="D3350" s="223">
        <v>7</v>
      </c>
      <c r="E3350" s="223">
        <v>2000</v>
      </c>
    </row>
    <row r="3351" spans="1:5" ht="15">
      <c r="A3351" s="223" t="s">
        <v>92</v>
      </c>
      <c r="B3351" s="223">
        <v>21</v>
      </c>
      <c r="C3351" s="223">
        <v>34</v>
      </c>
      <c r="D3351" s="223">
        <v>2</v>
      </c>
      <c r="E3351" s="223">
        <v>12250</v>
      </c>
    </row>
    <row r="3352" spans="1:5" ht="15">
      <c r="A3352" s="223" t="s">
        <v>92</v>
      </c>
      <c r="B3352" s="223">
        <v>21</v>
      </c>
      <c r="C3352" s="223">
        <v>34</v>
      </c>
      <c r="D3352" s="223">
        <v>4</v>
      </c>
      <c r="E3352" s="223">
        <v>2876</v>
      </c>
    </row>
    <row r="3353" spans="1:5" ht="15">
      <c r="A3353" s="223" t="s">
        <v>92</v>
      </c>
      <c r="B3353" s="223">
        <v>24</v>
      </c>
      <c r="C3353" s="223">
        <v>25</v>
      </c>
      <c r="D3353" s="223">
        <v>3</v>
      </c>
      <c r="E3353" s="223">
        <v>3415</v>
      </c>
    </row>
    <row r="3354" spans="1:5" ht="15">
      <c r="A3354" s="223" t="s">
        <v>92</v>
      </c>
      <c r="B3354" s="223">
        <v>24</v>
      </c>
      <c r="C3354" s="223">
        <v>25</v>
      </c>
      <c r="D3354" s="223">
        <v>4</v>
      </c>
      <c r="E3354" s="223">
        <v>2203</v>
      </c>
    </row>
    <row r="3355" spans="1:5" ht="15">
      <c r="A3355" s="223" t="s">
        <v>92</v>
      </c>
      <c r="B3355" s="223">
        <v>24</v>
      </c>
      <c r="C3355" s="223">
        <v>27</v>
      </c>
      <c r="D3355" s="223">
        <v>2</v>
      </c>
      <c r="E3355" s="223">
        <v>2316</v>
      </c>
    </row>
    <row r="3356" spans="1:5" ht="15">
      <c r="A3356" s="223" t="s">
        <v>92</v>
      </c>
      <c r="B3356" s="223">
        <v>24</v>
      </c>
      <c r="C3356" s="223">
        <v>27</v>
      </c>
      <c r="D3356" s="223">
        <v>3</v>
      </c>
      <c r="E3356" s="223">
        <v>221523</v>
      </c>
    </row>
    <row r="3357" spans="1:5" ht="15">
      <c r="A3357" s="223" t="s">
        <v>92</v>
      </c>
      <c r="B3357" s="223">
        <v>24</v>
      </c>
      <c r="C3357" s="223">
        <v>27</v>
      </c>
      <c r="D3357" s="223">
        <v>4</v>
      </c>
      <c r="E3357" s="223">
        <v>132021</v>
      </c>
    </row>
    <row r="3358" spans="1:5" ht="15">
      <c r="A3358" s="223" t="s">
        <v>94</v>
      </c>
      <c r="B3358" s="223">
        <v>21</v>
      </c>
      <c r="C3358" s="223">
        <v>25</v>
      </c>
      <c r="D3358" s="223">
        <v>3</v>
      </c>
      <c r="E3358" s="223">
        <v>19562</v>
      </c>
    </row>
    <row r="3359" spans="1:5" ht="15">
      <c r="A3359" s="223" t="s">
        <v>94</v>
      </c>
      <c r="B3359" s="223">
        <v>21</v>
      </c>
      <c r="C3359" s="223">
        <v>25</v>
      </c>
      <c r="D3359" s="223">
        <v>4</v>
      </c>
      <c r="E3359" s="223">
        <v>15406</v>
      </c>
    </row>
    <row r="3360" spans="1:5" ht="15">
      <c r="A3360" s="223" t="s">
        <v>94</v>
      </c>
      <c r="B3360" s="223">
        <v>21</v>
      </c>
      <c r="C3360" s="223">
        <v>26</v>
      </c>
      <c r="D3360" s="223">
        <v>3</v>
      </c>
      <c r="E3360" s="223">
        <v>6718</v>
      </c>
    </row>
    <row r="3361" spans="1:5" ht="15">
      <c r="A3361" s="223" t="s">
        <v>94</v>
      </c>
      <c r="B3361" s="223">
        <v>21</v>
      </c>
      <c r="C3361" s="223">
        <v>26</v>
      </c>
      <c r="D3361" s="223">
        <v>4</v>
      </c>
      <c r="E3361" s="223">
        <v>3733</v>
      </c>
    </row>
    <row r="3362" spans="1:5" ht="15">
      <c r="A3362" s="223" t="s">
        <v>94</v>
      </c>
      <c r="B3362" s="223">
        <v>21</v>
      </c>
      <c r="C3362" s="223">
        <v>26</v>
      </c>
      <c r="D3362" s="223">
        <v>7</v>
      </c>
      <c r="E3362" s="223">
        <v>170000</v>
      </c>
    </row>
    <row r="3363" spans="1:5" ht="15">
      <c r="A3363" s="223" t="s">
        <v>94</v>
      </c>
      <c r="B3363" s="223">
        <v>21</v>
      </c>
      <c r="C3363" s="223">
        <v>27</v>
      </c>
      <c r="D3363" s="223">
        <v>2</v>
      </c>
      <c r="E3363" s="223">
        <v>243156</v>
      </c>
    </row>
    <row r="3364" spans="1:5" ht="15">
      <c r="A3364" s="223" t="s">
        <v>94</v>
      </c>
      <c r="B3364" s="223">
        <v>21</v>
      </c>
      <c r="C3364" s="223">
        <v>27</v>
      </c>
      <c r="D3364" s="223">
        <v>3</v>
      </c>
      <c r="E3364" s="223">
        <v>191412</v>
      </c>
    </row>
    <row r="3365" spans="1:5" ht="15">
      <c r="A3365" s="223" t="s">
        <v>94</v>
      </c>
      <c r="B3365" s="223">
        <v>21</v>
      </c>
      <c r="C3365" s="223">
        <v>27</v>
      </c>
      <c r="D3365" s="223">
        <v>4</v>
      </c>
      <c r="E3365" s="223">
        <v>216757</v>
      </c>
    </row>
    <row r="3366" spans="1:5" ht="15">
      <c r="A3366" s="223" t="s">
        <v>94</v>
      </c>
      <c r="B3366" s="223">
        <v>21</v>
      </c>
      <c r="C3366" s="223">
        <v>27</v>
      </c>
      <c r="D3366" s="223">
        <v>5</v>
      </c>
      <c r="E3366" s="223">
        <v>3750</v>
      </c>
    </row>
    <row r="3367" spans="1:5" ht="15">
      <c r="A3367" s="223" t="s">
        <v>94</v>
      </c>
      <c r="B3367" s="223">
        <v>21</v>
      </c>
      <c r="C3367" s="223">
        <v>27</v>
      </c>
      <c r="D3367" s="223">
        <v>7</v>
      </c>
      <c r="E3367" s="223">
        <v>180000</v>
      </c>
    </row>
    <row r="3368" spans="1:5" ht="15">
      <c r="A3368" s="223" t="s">
        <v>94</v>
      </c>
      <c r="B3368" s="223">
        <v>21</v>
      </c>
      <c r="C3368" s="223">
        <v>29</v>
      </c>
      <c r="D3368" s="223">
        <v>7</v>
      </c>
      <c r="E3368" s="223">
        <v>411434</v>
      </c>
    </row>
    <row r="3369" spans="1:5" ht="15">
      <c r="A3369" s="223" t="s">
        <v>94</v>
      </c>
      <c r="B3369" s="223">
        <v>21</v>
      </c>
      <c r="C3369" s="223">
        <v>34</v>
      </c>
      <c r="D3369" s="223">
        <v>2</v>
      </c>
      <c r="E3369" s="223">
        <v>3474</v>
      </c>
    </row>
    <row r="3370" spans="1:5" ht="15">
      <c r="A3370" s="223" t="s">
        <v>94</v>
      </c>
      <c r="B3370" s="223">
        <v>21</v>
      </c>
      <c r="C3370" s="223">
        <v>34</v>
      </c>
      <c r="D3370" s="223">
        <v>4</v>
      </c>
      <c r="E3370" s="223">
        <v>817</v>
      </c>
    </row>
    <row r="3371" spans="1:5" ht="15">
      <c r="A3371" s="223" t="s">
        <v>94</v>
      </c>
      <c r="B3371" s="223">
        <v>23</v>
      </c>
      <c r="C3371" s="223">
        <v>27</v>
      </c>
      <c r="D3371" s="223">
        <v>5</v>
      </c>
      <c r="E3371" s="223">
        <v>30850</v>
      </c>
    </row>
    <row r="3372" spans="1:5" ht="15">
      <c r="A3372" s="223" t="s">
        <v>94</v>
      </c>
      <c r="B3372" s="223">
        <v>24</v>
      </c>
      <c r="C3372" s="223">
        <v>26</v>
      </c>
      <c r="D3372" s="223">
        <v>7</v>
      </c>
      <c r="E3372" s="223">
        <v>156914</v>
      </c>
    </row>
    <row r="3373" spans="1:5" ht="15">
      <c r="A3373" s="223" t="s">
        <v>94</v>
      </c>
      <c r="B3373" s="223">
        <v>24</v>
      </c>
      <c r="C3373" s="223">
        <v>27</v>
      </c>
      <c r="D3373" s="223">
        <v>3</v>
      </c>
      <c r="E3373" s="223">
        <v>4632</v>
      </c>
    </row>
    <row r="3374" spans="1:5" ht="15">
      <c r="A3374" s="223" t="s">
        <v>94</v>
      </c>
      <c r="B3374" s="223">
        <v>24</v>
      </c>
      <c r="C3374" s="223">
        <v>27</v>
      </c>
      <c r="D3374" s="223">
        <v>4</v>
      </c>
      <c r="E3374" s="223">
        <v>3549</v>
      </c>
    </row>
    <row r="3375" spans="1:5" ht="15">
      <c r="A3375" s="223" t="s">
        <v>94</v>
      </c>
      <c r="B3375" s="223">
        <v>24</v>
      </c>
      <c r="C3375" s="223">
        <v>32</v>
      </c>
      <c r="D3375" s="223">
        <v>5</v>
      </c>
      <c r="E3375" s="223">
        <v>2100</v>
      </c>
    </row>
    <row r="3376" spans="1:5" ht="15">
      <c r="A3376" s="223" t="s">
        <v>96</v>
      </c>
      <c r="B3376" s="223">
        <v>21</v>
      </c>
      <c r="C3376" s="223">
        <v>27</v>
      </c>
      <c r="D3376" s="223">
        <v>7</v>
      </c>
      <c r="E3376" s="223">
        <v>408260</v>
      </c>
    </row>
    <row r="3377" spans="1:5" ht="15">
      <c r="A3377" s="223" t="s">
        <v>97</v>
      </c>
      <c r="B3377" s="223">
        <v>21</v>
      </c>
      <c r="C3377" s="223">
        <v>21</v>
      </c>
      <c r="D3377" s="223">
        <v>2</v>
      </c>
      <c r="E3377" s="223">
        <v>21809</v>
      </c>
    </row>
    <row r="3378" spans="1:5" ht="15">
      <c r="A3378" s="223" t="s">
        <v>97</v>
      </c>
      <c r="B3378" s="223">
        <v>21</v>
      </c>
      <c r="C3378" s="223">
        <v>21</v>
      </c>
      <c r="D3378" s="223">
        <v>4</v>
      </c>
      <c r="E3378" s="223">
        <v>6857</v>
      </c>
    </row>
    <row r="3379" spans="1:5" ht="15">
      <c r="A3379" s="223" t="s">
        <v>97</v>
      </c>
      <c r="B3379" s="223">
        <v>21</v>
      </c>
      <c r="C3379" s="223">
        <v>26</v>
      </c>
      <c r="D3379" s="223">
        <v>7</v>
      </c>
      <c r="E3379" s="223">
        <v>106554</v>
      </c>
    </row>
    <row r="3380" spans="1:5" ht="15">
      <c r="A3380" s="223" t="s">
        <v>97</v>
      </c>
      <c r="B3380" s="223">
        <v>21</v>
      </c>
      <c r="C3380" s="223">
        <v>27</v>
      </c>
      <c r="D3380" s="223">
        <v>2</v>
      </c>
      <c r="E3380" s="223">
        <v>45455</v>
      </c>
    </row>
    <row r="3381" spans="1:5" ht="15">
      <c r="A3381" s="223" t="s">
        <v>97</v>
      </c>
      <c r="B3381" s="223">
        <v>21</v>
      </c>
      <c r="C3381" s="223">
        <v>27</v>
      </c>
      <c r="D3381" s="223">
        <v>4</v>
      </c>
      <c r="E3381" s="223">
        <v>23041</v>
      </c>
    </row>
    <row r="3382" spans="1:5" ht="15">
      <c r="A3382" s="223" t="s">
        <v>97</v>
      </c>
      <c r="B3382" s="223">
        <v>24</v>
      </c>
      <c r="C3382" s="223">
        <v>26</v>
      </c>
      <c r="D3382" s="223">
        <v>7</v>
      </c>
      <c r="E3382" s="223">
        <v>56671</v>
      </c>
    </row>
    <row r="3383" spans="1:5" ht="15">
      <c r="A3383" s="223" t="s">
        <v>97</v>
      </c>
      <c r="B3383" s="223">
        <v>24</v>
      </c>
      <c r="C3383" s="223">
        <v>27</v>
      </c>
      <c r="D3383" s="223">
        <v>3</v>
      </c>
      <c r="E3383" s="223">
        <v>3647</v>
      </c>
    </row>
    <row r="3384" spans="1:5" ht="15">
      <c r="A3384" s="223" t="s">
        <v>97</v>
      </c>
      <c r="B3384" s="223">
        <v>24</v>
      </c>
      <c r="C3384" s="223">
        <v>27</v>
      </c>
      <c r="D3384" s="223">
        <v>4</v>
      </c>
      <c r="E3384" s="223">
        <v>1993</v>
      </c>
    </row>
    <row r="3385" spans="1:5" ht="15">
      <c r="A3385" s="223" t="s">
        <v>97</v>
      </c>
      <c r="B3385" s="223">
        <v>29</v>
      </c>
      <c r="C3385" s="223">
        <v>26</v>
      </c>
      <c r="D3385" s="223">
        <v>7</v>
      </c>
      <c r="E3385" s="223">
        <v>31296</v>
      </c>
    </row>
    <row r="3386" spans="1:5" ht="15">
      <c r="A3386" s="223" t="s">
        <v>97</v>
      </c>
      <c r="B3386" s="223">
        <v>29</v>
      </c>
      <c r="C3386" s="223">
        <v>29</v>
      </c>
      <c r="D3386" s="223">
        <v>7</v>
      </c>
      <c r="E3386" s="223">
        <v>26000</v>
      </c>
    </row>
    <row r="3387" spans="1:5" ht="15">
      <c r="A3387" s="223" t="s">
        <v>99</v>
      </c>
      <c r="B3387" s="223">
        <v>21</v>
      </c>
      <c r="C3387" s="223">
        <v>21</v>
      </c>
      <c r="D3387" s="223">
        <v>2</v>
      </c>
      <c r="E3387" s="223">
        <v>17500</v>
      </c>
    </row>
    <row r="3388" spans="1:5" ht="15">
      <c r="A3388" s="223" t="s">
        <v>99</v>
      </c>
      <c r="B3388" s="223">
        <v>21</v>
      </c>
      <c r="C3388" s="223">
        <v>21</v>
      </c>
      <c r="D3388" s="223">
        <v>3</v>
      </c>
      <c r="E3388" s="223">
        <v>31478</v>
      </c>
    </row>
    <row r="3389" spans="1:5" ht="15">
      <c r="A3389" s="223" t="s">
        <v>99</v>
      </c>
      <c r="B3389" s="223">
        <v>21</v>
      </c>
      <c r="C3389" s="223">
        <v>21</v>
      </c>
      <c r="D3389" s="223">
        <v>4</v>
      </c>
      <c r="E3389" s="223">
        <v>20152</v>
      </c>
    </row>
    <row r="3390" spans="1:5" ht="15">
      <c r="A3390" s="223" t="s">
        <v>99</v>
      </c>
      <c r="B3390" s="223">
        <v>21</v>
      </c>
      <c r="C3390" s="223">
        <v>26</v>
      </c>
      <c r="D3390" s="223">
        <v>2</v>
      </c>
      <c r="E3390" s="223">
        <v>273275</v>
      </c>
    </row>
    <row r="3391" spans="1:5" ht="15">
      <c r="A3391" s="223" t="s">
        <v>99</v>
      </c>
      <c r="B3391" s="223">
        <v>21</v>
      </c>
      <c r="C3391" s="223">
        <v>26</v>
      </c>
      <c r="D3391" s="223">
        <v>3</v>
      </c>
      <c r="E3391" s="223">
        <v>27087</v>
      </c>
    </row>
    <row r="3392" spans="1:5" ht="15">
      <c r="A3392" s="223" t="s">
        <v>99</v>
      </c>
      <c r="B3392" s="223">
        <v>21</v>
      </c>
      <c r="C3392" s="223">
        <v>26</v>
      </c>
      <c r="D3392" s="223">
        <v>4</v>
      </c>
      <c r="E3392" s="223">
        <v>115703</v>
      </c>
    </row>
    <row r="3393" spans="1:5" ht="15">
      <c r="A3393" s="223" t="s">
        <v>99</v>
      </c>
      <c r="B3393" s="223">
        <v>21</v>
      </c>
      <c r="C3393" s="223">
        <v>26</v>
      </c>
      <c r="D3393" s="223">
        <v>7</v>
      </c>
      <c r="E3393" s="223">
        <v>95905</v>
      </c>
    </row>
    <row r="3394" spans="1:5" ht="15">
      <c r="A3394" s="223" t="s">
        <v>99</v>
      </c>
      <c r="B3394" s="223">
        <v>21</v>
      </c>
      <c r="C3394" s="223">
        <v>27</v>
      </c>
      <c r="D3394" s="223">
        <v>2</v>
      </c>
      <c r="E3394" s="223">
        <v>593455</v>
      </c>
    </row>
    <row r="3395" spans="1:5" ht="15">
      <c r="A3395" s="223" t="s">
        <v>99</v>
      </c>
      <c r="B3395" s="223">
        <v>21</v>
      </c>
      <c r="C3395" s="223">
        <v>27</v>
      </c>
      <c r="D3395" s="223">
        <v>3</v>
      </c>
      <c r="E3395" s="223">
        <v>303655</v>
      </c>
    </row>
    <row r="3396" spans="1:5" ht="15">
      <c r="A3396" s="223" t="s">
        <v>99</v>
      </c>
      <c r="B3396" s="223">
        <v>21</v>
      </c>
      <c r="C3396" s="223">
        <v>27</v>
      </c>
      <c r="D3396" s="223">
        <v>4</v>
      </c>
      <c r="E3396" s="223">
        <v>446233</v>
      </c>
    </row>
    <row r="3397" spans="1:5" ht="15">
      <c r="A3397" s="223" t="s">
        <v>99</v>
      </c>
      <c r="B3397" s="223">
        <v>21</v>
      </c>
      <c r="C3397" s="223">
        <v>27</v>
      </c>
      <c r="D3397" s="223">
        <v>5</v>
      </c>
      <c r="E3397" s="223">
        <v>3750</v>
      </c>
    </row>
    <row r="3398" spans="1:5" ht="15">
      <c r="A3398" s="223" t="s">
        <v>99</v>
      </c>
      <c r="B3398" s="223">
        <v>21</v>
      </c>
      <c r="C3398" s="223">
        <v>27</v>
      </c>
      <c r="D3398" s="223">
        <v>7</v>
      </c>
      <c r="E3398" s="223">
        <v>12500</v>
      </c>
    </row>
    <row r="3399" spans="1:5" ht="15">
      <c r="A3399" s="223" t="s">
        <v>99</v>
      </c>
      <c r="B3399" s="223">
        <v>21</v>
      </c>
      <c r="C3399" s="223">
        <v>27</v>
      </c>
      <c r="D3399" s="223">
        <v>8</v>
      </c>
      <c r="E3399" s="223">
        <v>1000</v>
      </c>
    </row>
    <row r="3400" spans="1:5" ht="15">
      <c r="A3400" s="223" t="s">
        <v>99</v>
      </c>
      <c r="B3400" s="223">
        <v>24</v>
      </c>
      <c r="C3400" s="223">
        <v>27</v>
      </c>
      <c r="D3400" s="223">
        <v>2</v>
      </c>
      <c r="E3400" s="223">
        <v>1500</v>
      </c>
    </row>
    <row r="3401" spans="1:5" ht="15">
      <c r="A3401" s="223" t="s">
        <v>99</v>
      </c>
      <c r="B3401" s="223">
        <v>24</v>
      </c>
      <c r="C3401" s="223">
        <v>27</v>
      </c>
      <c r="D3401" s="223">
        <v>3</v>
      </c>
      <c r="E3401" s="223">
        <v>161915</v>
      </c>
    </row>
    <row r="3402" spans="1:5" ht="15">
      <c r="A3402" s="223" t="s">
        <v>99</v>
      </c>
      <c r="B3402" s="223">
        <v>24</v>
      </c>
      <c r="C3402" s="223">
        <v>27</v>
      </c>
      <c r="D3402" s="223">
        <v>4</v>
      </c>
      <c r="E3402" s="223">
        <v>107321</v>
      </c>
    </row>
    <row r="3403" spans="1:5" ht="15">
      <c r="A3403" s="223" t="s">
        <v>99</v>
      </c>
      <c r="B3403" s="223">
        <v>24</v>
      </c>
      <c r="C3403" s="223">
        <v>27</v>
      </c>
      <c r="D3403" s="223">
        <v>5</v>
      </c>
      <c r="E3403" s="223">
        <v>9837</v>
      </c>
    </row>
    <row r="3404" spans="1:5" ht="15">
      <c r="A3404" s="223" t="s">
        <v>99</v>
      </c>
      <c r="B3404" s="223">
        <v>24</v>
      </c>
      <c r="C3404" s="223">
        <v>27</v>
      </c>
      <c r="D3404" s="223">
        <v>7</v>
      </c>
      <c r="E3404" s="223">
        <v>500</v>
      </c>
    </row>
    <row r="3405" spans="1:5" ht="15">
      <c r="A3405" s="223" t="s">
        <v>99</v>
      </c>
      <c r="B3405" s="223">
        <v>24</v>
      </c>
      <c r="C3405" s="223">
        <v>27</v>
      </c>
      <c r="D3405" s="223">
        <v>8</v>
      </c>
      <c r="E3405" s="223">
        <v>500</v>
      </c>
    </row>
    <row r="3406" spans="1:5" ht="15">
      <c r="A3406" s="223" t="s">
        <v>99</v>
      </c>
      <c r="B3406" s="223">
        <v>24</v>
      </c>
      <c r="C3406" s="223">
        <v>31</v>
      </c>
      <c r="D3406" s="223">
        <v>3</v>
      </c>
      <c r="E3406" s="223">
        <v>2958</v>
      </c>
    </row>
    <row r="3407" spans="1:5" ht="15">
      <c r="A3407" s="223" t="s">
        <v>99</v>
      </c>
      <c r="B3407" s="223">
        <v>24</v>
      </c>
      <c r="C3407" s="223">
        <v>31</v>
      </c>
      <c r="D3407" s="223">
        <v>4</v>
      </c>
      <c r="E3407" s="223">
        <v>361</v>
      </c>
    </row>
    <row r="3408" spans="1:5" ht="15">
      <c r="A3408" s="223" t="s">
        <v>99</v>
      </c>
      <c r="B3408" s="223">
        <v>24</v>
      </c>
      <c r="C3408" s="223">
        <v>31</v>
      </c>
      <c r="D3408" s="223">
        <v>8</v>
      </c>
      <c r="E3408" s="223">
        <v>250</v>
      </c>
    </row>
    <row r="3409" spans="1:5" ht="15">
      <c r="A3409" s="223" t="s">
        <v>101</v>
      </c>
      <c r="B3409" s="223">
        <v>21</v>
      </c>
      <c r="C3409" s="223">
        <v>21</v>
      </c>
      <c r="D3409" s="223">
        <v>2</v>
      </c>
      <c r="E3409" s="223">
        <v>116662</v>
      </c>
    </row>
    <row r="3410" spans="1:5" ht="15">
      <c r="A3410" s="223" t="s">
        <v>101</v>
      </c>
      <c r="B3410" s="223">
        <v>21</v>
      </c>
      <c r="C3410" s="223">
        <v>21</v>
      </c>
      <c r="D3410" s="223">
        <v>3</v>
      </c>
      <c r="E3410" s="223">
        <v>26650</v>
      </c>
    </row>
    <row r="3411" spans="1:5" ht="15">
      <c r="A3411" s="223" t="s">
        <v>101</v>
      </c>
      <c r="B3411" s="223">
        <v>21</v>
      </c>
      <c r="C3411" s="223">
        <v>21</v>
      </c>
      <c r="D3411" s="223">
        <v>4</v>
      </c>
      <c r="E3411" s="223">
        <v>50094</v>
      </c>
    </row>
    <row r="3412" spans="1:5" ht="15">
      <c r="A3412" s="223" t="s">
        <v>101</v>
      </c>
      <c r="B3412" s="223">
        <v>21</v>
      </c>
      <c r="C3412" s="223">
        <v>26</v>
      </c>
      <c r="D3412" s="223">
        <v>2</v>
      </c>
      <c r="E3412" s="223">
        <v>151683</v>
      </c>
    </row>
    <row r="3413" spans="1:5" ht="15">
      <c r="A3413" s="223" t="s">
        <v>101</v>
      </c>
      <c r="B3413" s="223">
        <v>21</v>
      </c>
      <c r="C3413" s="223">
        <v>26</v>
      </c>
      <c r="D3413" s="223">
        <v>3</v>
      </c>
      <c r="E3413" s="223">
        <v>44313</v>
      </c>
    </row>
    <row r="3414" spans="1:5" ht="15">
      <c r="A3414" s="223" t="s">
        <v>101</v>
      </c>
      <c r="B3414" s="223">
        <v>21</v>
      </c>
      <c r="C3414" s="223">
        <v>26</v>
      </c>
      <c r="D3414" s="223">
        <v>4</v>
      </c>
      <c r="E3414" s="223">
        <v>93716</v>
      </c>
    </row>
    <row r="3415" spans="1:5" ht="15">
      <c r="A3415" s="223" t="s">
        <v>101</v>
      </c>
      <c r="B3415" s="223">
        <v>21</v>
      </c>
      <c r="C3415" s="223">
        <v>26</v>
      </c>
      <c r="D3415" s="223">
        <v>5</v>
      </c>
      <c r="E3415" s="223">
        <v>5000</v>
      </c>
    </row>
    <row r="3416" spans="1:5" ht="15">
      <c r="A3416" s="223" t="s">
        <v>101</v>
      </c>
      <c r="B3416" s="223">
        <v>21</v>
      </c>
      <c r="C3416" s="223">
        <v>26</v>
      </c>
      <c r="D3416" s="223">
        <v>7</v>
      </c>
      <c r="E3416" s="223">
        <v>130000</v>
      </c>
    </row>
    <row r="3417" spans="1:5" ht="15">
      <c r="A3417" s="223" t="s">
        <v>101</v>
      </c>
      <c r="B3417" s="223">
        <v>21</v>
      </c>
      <c r="C3417" s="223">
        <v>26</v>
      </c>
      <c r="D3417" s="223">
        <v>8</v>
      </c>
      <c r="E3417" s="223">
        <v>2000</v>
      </c>
    </row>
    <row r="3418" spans="1:5" ht="15">
      <c r="A3418" s="223" t="s">
        <v>101</v>
      </c>
      <c r="B3418" s="223">
        <v>21</v>
      </c>
      <c r="C3418" s="223">
        <v>27</v>
      </c>
      <c r="D3418" s="223">
        <v>2</v>
      </c>
      <c r="E3418" s="223">
        <v>662015</v>
      </c>
    </row>
    <row r="3419" spans="1:5" ht="15">
      <c r="A3419" s="223" t="s">
        <v>101</v>
      </c>
      <c r="B3419" s="223">
        <v>21</v>
      </c>
      <c r="C3419" s="223">
        <v>27</v>
      </c>
      <c r="D3419" s="223">
        <v>3</v>
      </c>
      <c r="E3419" s="223">
        <v>311684</v>
      </c>
    </row>
    <row r="3420" spans="1:5" ht="15">
      <c r="A3420" s="223" t="s">
        <v>101</v>
      </c>
      <c r="B3420" s="223">
        <v>21</v>
      </c>
      <c r="C3420" s="223">
        <v>27</v>
      </c>
      <c r="D3420" s="223">
        <v>4</v>
      </c>
      <c r="E3420" s="223">
        <v>450076</v>
      </c>
    </row>
    <row r="3421" spans="1:5" ht="15">
      <c r="A3421" s="223" t="s">
        <v>101</v>
      </c>
      <c r="B3421" s="223">
        <v>21</v>
      </c>
      <c r="C3421" s="223">
        <v>27</v>
      </c>
      <c r="D3421" s="223">
        <v>5</v>
      </c>
      <c r="E3421" s="223">
        <v>63804</v>
      </c>
    </row>
    <row r="3422" spans="1:5" ht="15">
      <c r="A3422" s="223" t="s">
        <v>101</v>
      </c>
      <c r="B3422" s="223">
        <v>21</v>
      </c>
      <c r="C3422" s="223">
        <v>27</v>
      </c>
      <c r="D3422" s="223">
        <v>7</v>
      </c>
      <c r="E3422" s="223">
        <v>37800</v>
      </c>
    </row>
    <row r="3423" spans="1:5" ht="15">
      <c r="A3423" s="223" t="s">
        <v>101</v>
      </c>
      <c r="B3423" s="223">
        <v>21</v>
      </c>
      <c r="C3423" s="223">
        <v>27</v>
      </c>
      <c r="D3423" s="223">
        <v>8</v>
      </c>
      <c r="E3423" s="223">
        <v>4000</v>
      </c>
    </row>
    <row r="3424" spans="1:5" ht="15">
      <c r="A3424" s="223" t="s">
        <v>101</v>
      </c>
      <c r="B3424" s="223">
        <v>21</v>
      </c>
      <c r="C3424" s="223">
        <v>31</v>
      </c>
      <c r="D3424" s="223">
        <v>3</v>
      </c>
      <c r="E3424" s="223">
        <v>3088</v>
      </c>
    </row>
    <row r="3425" spans="1:5" ht="15">
      <c r="A3425" s="223" t="s">
        <v>101</v>
      </c>
      <c r="B3425" s="223">
        <v>21</v>
      </c>
      <c r="C3425" s="223">
        <v>31</v>
      </c>
      <c r="D3425" s="223">
        <v>4</v>
      </c>
      <c r="E3425" s="223">
        <v>647</v>
      </c>
    </row>
    <row r="3426" spans="1:5" ht="15">
      <c r="A3426" s="223" t="s">
        <v>101</v>
      </c>
      <c r="B3426" s="223">
        <v>21</v>
      </c>
      <c r="C3426" s="223">
        <v>31</v>
      </c>
      <c r="D3426" s="223">
        <v>7</v>
      </c>
      <c r="E3426" s="223">
        <v>3000</v>
      </c>
    </row>
    <row r="3427" spans="1:5" ht="15">
      <c r="A3427" s="223" t="s">
        <v>101</v>
      </c>
      <c r="B3427" s="223">
        <v>21</v>
      </c>
      <c r="C3427" s="223">
        <v>32</v>
      </c>
      <c r="D3427" s="223">
        <v>5</v>
      </c>
      <c r="E3427" s="223">
        <v>500</v>
      </c>
    </row>
    <row r="3428" spans="1:5" ht="15">
      <c r="A3428" s="223" t="s">
        <v>101</v>
      </c>
      <c r="B3428" s="223">
        <v>21</v>
      </c>
      <c r="C3428" s="223">
        <v>33</v>
      </c>
      <c r="D3428" s="223">
        <v>7</v>
      </c>
      <c r="E3428" s="223">
        <v>1000</v>
      </c>
    </row>
    <row r="3429" spans="1:5" ht="15">
      <c r="A3429" s="223" t="s">
        <v>101</v>
      </c>
      <c r="B3429" s="223">
        <v>24</v>
      </c>
      <c r="C3429" s="223">
        <v>26</v>
      </c>
      <c r="D3429" s="223">
        <v>2</v>
      </c>
      <c r="E3429" s="223">
        <v>153410</v>
      </c>
    </row>
    <row r="3430" spans="1:5" ht="15">
      <c r="A3430" s="223" t="s">
        <v>101</v>
      </c>
      <c r="B3430" s="223">
        <v>24</v>
      </c>
      <c r="C3430" s="223">
        <v>26</v>
      </c>
      <c r="D3430" s="223">
        <v>4</v>
      </c>
      <c r="E3430" s="223">
        <v>60235</v>
      </c>
    </row>
    <row r="3431" spans="1:5" ht="15">
      <c r="A3431" s="223" t="s">
        <v>101</v>
      </c>
      <c r="B3431" s="223">
        <v>24</v>
      </c>
      <c r="C3431" s="223">
        <v>27</v>
      </c>
      <c r="D3431" s="223">
        <v>2</v>
      </c>
      <c r="E3431" s="223">
        <v>68106</v>
      </c>
    </row>
    <row r="3432" spans="1:5" ht="15">
      <c r="A3432" s="223" t="s">
        <v>101</v>
      </c>
      <c r="B3432" s="223">
        <v>24</v>
      </c>
      <c r="C3432" s="223">
        <v>27</v>
      </c>
      <c r="D3432" s="223">
        <v>3</v>
      </c>
      <c r="E3432" s="223">
        <v>10226</v>
      </c>
    </row>
    <row r="3433" spans="1:5" ht="15">
      <c r="A3433" s="223" t="s">
        <v>101</v>
      </c>
      <c r="B3433" s="223">
        <v>24</v>
      </c>
      <c r="C3433" s="223">
        <v>27</v>
      </c>
      <c r="D3433" s="223">
        <v>4</v>
      </c>
      <c r="E3433" s="223">
        <v>35247</v>
      </c>
    </row>
    <row r="3434" spans="1:5" ht="15">
      <c r="A3434" s="223" t="s">
        <v>103</v>
      </c>
      <c r="B3434" s="223">
        <v>21</v>
      </c>
      <c r="C3434" s="223">
        <v>21</v>
      </c>
      <c r="D3434" s="223">
        <v>2</v>
      </c>
      <c r="E3434" s="223">
        <v>94500</v>
      </c>
    </row>
    <row r="3435" spans="1:5" ht="15">
      <c r="A3435" s="223" t="s">
        <v>103</v>
      </c>
      <c r="B3435" s="223">
        <v>21</v>
      </c>
      <c r="C3435" s="223">
        <v>21</v>
      </c>
      <c r="D3435" s="223">
        <v>3</v>
      </c>
      <c r="E3435" s="223">
        <v>35742</v>
      </c>
    </row>
    <row r="3436" spans="1:5" ht="15">
      <c r="A3436" s="223" t="s">
        <v>103</v>
      </c>
      <c r="B3436" s="223">
        <v>21</v>
      </c>
      <c r="C3436" s="223">
        <v>21</v>
      </c>
      <c r="D3436" s="223">
        <v>4</v>
      </c>
      <c r="E3436" s="223">
        <v>43651</v>
      </c>
    </row>
    <row r="3437" spans="1:5" ht="15">
      <c r="A3437" s="223" t="s">
        <v>103</v>
      </c>
      <c r="B3437" s="223">
        <v>21</v>
      </c>
      <c r="C3437" s="223">
        <v>26</v>
      </c>
      <c r="D3437" s="223">
        <v>2</v>
      </c>
      <c r="E3437" s="223">
        <v>552151</v>
      </c>
    </row>
    <row r="3438" spans="1:5" ht="15">
      <c r="A3438" s="223" t="s">
        <v>103</v>
      </c>
      <c r="B3438" s="223">
        <v>21</v>
      </c>
      <c r="C3438" s="223">
        <v>26</v>
      </c>
      <c r="D3438" s="223">
        <v>3</v>
      </c>
      <c r="E3438" s="223">
        <v>96269</v>
      </c>
    </row>
    <row r="3439" spans="1:5" ht="15">
      <c r="A3439" s="223" t="s">
        <v>103</v>
      </c>
      <c r="B3439" s="223">
        <v>21</v>
      </c>
      <c r="C3439" s="223">
        <v>26</v>
      </c>
      <c r="D3439" s="223">
        <v>4</v>
      </c>
      <c r="E3439" s="223">
        <v>266746</v>
      </c>
    </row>
    <row r="3440" spans="1:5" ht="15">
      <c r="A3440" s="223" t="s">
        <v>103</v>
      </c>
      <c r="B3440" s="223">
        <v>21</v>
      </c>
      <c r="C3440" s="223">
        <v>27</v>
      </c>
      <c r="D3440" s="223">
        <v>0</v>
      </c>
      <c r="E3440" s="223">
        <v>3000</v>
      </c>
    </row>
    <row r="3441" spans="1:5" ht="15">
      <c r="A3441" s="223" t="s">
        <v>103</v>
      </c>
      <c r="B3441" s="223">
        <v>21</v>
      </c>
      <c r="C3441" s="223">
        <v>27</v>
      </c>
      <c r="D3441" s="223">
        <v>2</v>
      </c>
      <c r="E3441" s="223">
        <v>940472</v>
      </c>
    </row>
    <row r="3442" spans="1:5" ht="15">
      <c r="A3442" s="223" t="s">
        <v>103</v>
      </c>
      <c r="B3442" s="223">
        <v>21</v>
      </c>
      <c r="C3442" s="223">
        <v>27</v>
      </c>
      <c r="D3442" s="223">
        <v>3</v>
      </c>
      <c r="E3442" s="223">
        <v>823605</v>
      </c>
    </row>
    <row r="3443" spans="1:5" ht="15">
      <c r="A3443" s="223" t="s">
        <v>103</v>
      </c>
      <c r="B3443" s="223">
        <v>21</v>
      </c>
      <c r="C3443" s="223">
        <v>27</v>
      </c>
      <c r="D3443" s="223">
        <v>4</v>
      </c>
      <c r="E3443" s="223">
        <v>860752</v>
      </c>
    </row>
    <row r="3444" spans="1:5" ht="15">
      <c r="A3444" s="223" t="s">
        <v>103</v>
      </c>
      <c r="B3444" s="223">
        <v>21</v>
      </c>
      <c r="C3444" s="223">
        <v>27</v>
      </c>
      <c r="D3444" s="223">
        <v>5</v>
      </c>
      <c r="E3444" s="223">
        <v>39320</v>
      </c>
    </row>
    <row r="3445" spans="1:5" ht="15">
      <c r="A3445" s="223" t="s">
        <v>103</v>
      </c>
      <c r="B3445" s="223">
        <v>21</v>
      </c>
      <c r="C3445" s="223">
        <v>27</v>
      </c>
      <c r="D3445" s="223">
        <v>7</v>
      </c>
      <c r="E3445" s="223">
        <v>80000</v>
      </c>
    </row>
    <row r="3446" spans="1:5" ht="15">
      <c r="A3446" s="223" t="s">
        <v>103</v>
      </c>
      <c r="B3446" s="223">
        <v>21</v>
      </c>
      <c r="C3446" s="223">
        <v>31</v>
      </c>
      <c r="D3446" s="223">
        <v>2</v>
      </c>
      <c r="E3446" s="223">
        <v>25246</v>
      </c>
    </row>
    <row r="3447" spans="1:5" ht="15">
      <c r="A3447" s="223" t="s">
        <v>103</v>
      </c>
      <c r="B3447" s="223">
        <v>21</v>
      </c>
      <c r="C3447" s="223">
        <v>31</v>
      </c>
      <c r="D3447" s="223">
        <v>4</v>
      </c>
      <c r="E3447" s="223">
        <v>5751</v>
      </c>
    </row>
    <row r="3448" spans="1:5" ht="15">
      <c r="A3448" s="223" t="s">
        <v>103</v>
      </c>
      <c r="B3448" s="223">
        <v>21</v>
      </c>
      <c r="C3448" s="223">
        <v>31</v>
      </c>
      <c r="D3448" s="223">
        <v>7</v>
      </c>
      <c r="E3448" s="223">
        <v>1500</v>
      </c>
    </row>
    <row r="3449" spans="1:5" ht="15">
      <c r="A3449" s="223" t="s">
        <v>103</v>
      </c>
      <c r="B3449" s="223">
        <v>21</v>
      </c>
      <c r="C3449" s="223">
        <v>31</v>
      </c>
      <c r="D3449" s="223">
        <v>8</v>
      </c>
      <c r="E3449" s="223">
        <v>500</v>
      </c>
    </row>
    <row r="3450" spans="1:5" ht="15">
      <c r="A3450" s="223" t="s">
        <v>103</v>
      </c>
      <c r="B3450" s="223">
        <v>21</v>
      </c>
      <c r="C3450" s="223">
        <v>33</v>
      </c>
      <c r="D3450" s="223">
        <v>5</v>
      </c>
      <c r="E3450" s="223">
        <v>1499</v>
      </c>
    </row>
    <row r="3451" spans="1:5" ht="15">
      <c r="A3451" s="223" t="s">
        <v>103</v>
      </c>
      <c r="B3451" s="223">
        <v>21</v>
      </c>
      <c r="C3451" s="223">
        <v>34</v>
      </c>
      <c r="D3451" s="223">
        <v>2</v>
      </c>
      <c r="E3451" s="223">
        <v>58406</v>
      </c>
    </row>
    <row r="3452" spans="1:5" ht="15">
      <c r="A3452" s="223" t="s">
        <v>103</v>
      </c>
      <c r="B3452" s="223">
        <v>21</v>
      </c>
      <c r="C3452" s="223">
        <v>34</v>
      </c>
      <c r="D3452" s="223">
        <v>4</v>
      </c>
      <c r="E3452" s="223">
        <v>9526</v>
      </c>
    </row>
    <row r="3453" spans="1:5" ht="15">
      <c r="A3453" s="223" t="s">
        <v>103</v>
      </c>
      <c r="B3453" s="223">
        <v>23</v>
      </c>
      <c r="C3453" s="223">
        <v>26</v>
      </c>
      <c r="D3453" s="223">
        <v>7</v>
      </c>
      <c r="E3453" s="223">
        <v>88690</v>
      </c>
    </row>
    <row r="3454" spans="1:5" ht="15">
      <c r="A3454" s="223" t="s">
        <v>103</v>
      </c>
      <c r="B3454" s="223">
        <v>23</v>
      </c>
      <c r="C3454" s="223">
        <v>27</v>
      </c>
      <c r="D3454" s="223">
        <v>5</v>
      </c>
      <c r="E3454" s="223">
        <v>7408</v>
      </c>
    </row>
    <row r="3455" spans="1:5" ht="15">
      <c r="A3455" s="223" t="s">
        <v>103</v>
      </c>
      <c r="B3455" s="223">
        <v>24</v>
      </c>
      <c r="C3455" s="223">
        <v>27</v>
      </c>
      <c r="D3455" s="223">
        <v>2</v>
      </c>
      <c r="E3455" s="223">
        <v>199623</v>
      </c>
    </row>
    <row r="3456" spans="1:5" ht="15">
      <c r="A3456" s="223" t="s">
        <v>103</v>
      </c>
      <c r="B3456" s="223">
        <v>24</v>
      </c>
      <c r="C3456" s="223">
        <v>27</v>
      </c>
      <c r="D3456" s="223">
        <v>3</v>
      </c>
      <c r="E3456" s="223">
        <v>67405</v>
      </c>
    </row>
    <row r="3457" spans="1:5" ht="15">
      <c r="A3457" s="223" t="s">
        <v>103</v>
      </c>
      <c r="B3457" s="223">
        <v>24</v>
      </c>
      <c r="C3457" s="223">
        <v>27</v>
      </c>
      <c r="D3457" s="223">
        <v>4</v>
      </c>
      <c r="E3457" s="223">
        <v>114282</v>
      </c>
    </row>
    <row r="3458" spans="1:5" ht="15">
      <c r="A3458" s="223" t="s">
        <v>103</v>
      </c>
      <c r="B3458" s="223">
        <v>24</v>
      </c>
      <c r="C3458" s="223">
        <v>27</v>
      </c>
      <c r="D3458" s="223">
        <v>5</v>
      </c>
      <c r="E3458" s="223">
        <v>672</v>
      </c>
    </row>
    <row r="3459" spans="1:5" ht="15">
      <c r="A3459" s="223" t="s">
        <v>103</v>
      </c>
      <c r="B3459" s="223">
        <v>24</v>
      </c>
      <c r="C3459" s="223">
        <v>31</v>
      </c>
      <c r="D3459" s="223">
        <v>2</v>
      </c>
      <c r="E3459" s="223">
        <v>3236</v>
      </c>
    </row>
    <row r="3460" spans="1:5" ht="15">
      <c r="A3460" s="223" t="s">
        <v>103</v>
      </c>
      <c r="B3460" s="223">
        <v>24</v>
      </c>
      <c r="C3460" s="223">
        <v>31</v>
      </c>
      <c r="D3460" s="223">
        <v>4</v>
      </c>
      <c r="E3460" s="223">
        <v>738</v>
      </c>
    </row>
    <row r="3461" spans="1:5" ht="15">
      <c r="A3461" s="223" t="s">
        <v>214</v>
      </c>
      <c r="B3461" s="223">
        <v>21</v>
      </c>
      <c r="C3461" s="223">
        <v>21</v>
      </c>
      <c r="D3461" s="223">
        <v>3</v>
      </c>
      <c r="E3461" s="223">
        <v>79101</v>
      </c>
    </row>
    <row r="3462" spans="1:5" ht="15">
      <c r="A3462" s="223" t="s">
        <v>214</v>
      </c>
      <c r="B3462" s="223">
        <v>21</v>
      </c>
      <c r="C3462" s="223">
        <v>21</v>
      </c>
      <c r="D3462" s="223">
        <v>4</v>
      </c>
      <c r="E3462" s="223">
        <v>28698</v>
      </c>
    </row>
    <row r="3463" spans="1:5" ht="15">
      <c r="A3463" s="223" t="s">
        <v>214</v>
      </c>
      <c r="B3463" s="223">
        <v>21</v>
      </c>
      <c r="C3463" s="223">
        <v>26</v>
      </c>
      <c r="D3463" s="223">
        <v>2</v>
      </c>
      <c r="E3463" s="223">
        <v>108315</v>
      </c>
    </row>
    <row r="3464" spans="1:5" ht="15">
      <c r="A3464" s="223" t="s">
        <v>214</v>
      </c>
      <c r="B3464" s="223">
        <v>21</v>
      </c>
      <c r="C3464" s="223">
        <v>26</v>
      </c>
      <c r="D3464" s="223">
        <v>4</v>
      </c>
      <c r="E3464" s="223">
        <v>37425</v>
      </c>
    </row>
    <row r="3465" spans="1:5" ht="15">
      <c r="A3465" s="223" t="s">
        <v>214</v>
      </c>
      <c r="B3465" s="223">
        <v>21</v>
      </c>
      <c r="C3465" s="223">
        <v>26</v>
      </c>
      <c r="D3465" s="223">
        <v>5</v>
      </c>
      <c r="E3465" s="223">
        <v>2000</v>
      </c>
    </row>
    <row r="3466" spans="1:5" ht="15">
      <c r="A3466" s="223" t="s">
        <v>214</v>
      </c>
      <c r="B3466" s="223">
        <v>21</v>
      </c>
      <c r="C3466" s="223">
        <v>26</v>
      </c>
      <c r="D3466" s="223">
        <v>7</v>
      </c>
      <c r="E3466" s="223">
        <v>81001</v>
      </c>
    </row>
    <row r="3467" spans="1:5" ht="15">
      <c r="A3467" s="223" t="s">
        <v>214</v>
      </c>
      <c r="B3467" s="223">
        <v>21</v>
      </c>
      <c r="C3467" s="223">
        <v>26</v>
      </c>
      <c r="D3467" s="223">
        <v>8</v>
      </c>
      <c r="E3467" s="223">
        <v>9250</v>
      </c>
    </row>
    <row r="3468" spans="1:5" ht="15">
      <c r="A3468" s="223" t="s">
        <v>214</v>
      </c>
      <c r="B3468" s="223">
        <v>21</v>
      </c>
      <c r="C3468" s="223">
        <v>27</v>
      </c>
      <c r="D3468" s="223">
        <v>2</v>
      </c>
      <c r="E3468" s="223">
        <v>552336</v>
      </c>
    </row>
    <row r="3469" spans="1:5" ht="15">
      <c r="A3469" s="223" t="s">
        <v>214</v>
      </c>
      <c r="B3469" s="223">
        <v>21</v>
      </c>
      <c r="C3469" s="223">
        <v>27</v>
      </c>
      <c r="D3469" s="223">
        <v>3</v>
      </c>
      <c r="E3469" s="223">
        <v>363481</v>
      </c>
    </row>
    <row r="3470" spans="1:5" ht="15">
      <c r="A3470" s="223" t="s">
        <v>214</v>
      </c>
      <c r="B3470" s="223">
        <v>21</v>
      </c>
      <c r="C3470" s="223">
        <v>27</v>
      </c>
      <c r="D3470" s="223">
        <v>4</v>
      </c>
      <c r="E3470" s="223">
        <v>408872</v>
      </c>
    </row>
    <row r="3471" spans="1:5" ht="15">
      <c r="A3471" s="223" t="s">
        <v>214</v>
      </c>
      <c r="B3471" s="223">
        <v>21</v>
      </c>
      <c r="C3471" s="223">
        <v>27</v>
      </c>
      <c r="D3471" s="223">
        <v>5</v>
      </c>
      <c r="E3471" s="223">
        <v>5600</v>
      </c>
    </row>
    <row r="3472" spans="1:5" ht="15">
      <c r="A3472" s="223" t="s">
        <v>214</v>
      </c>
      <c r="B3472" s="223">
        <v>21</v>
      </c>
      <c r="C3472" s="223">
        <v>27</v>
      </c>
      <c r="D3472" s="223">
        <v>7</v>
      </c>
      <c r="E3472" s="223">
        <v>2500</v>
      </c>
    </row>
    <row r="3473" spans="1:5" ht="15">
      <c r="A3473" s="223" t="s">
        <v>214</v>
      </c>
      <c r="B3473" s="223">
        <v>21</v>
      </c>
      <c r="C3473" s="223">
        <v>31</v>
      </c>
      <c r="D3473" s="223">
        <v>7</v>
      </c>
      <c r="E3473" s="223">
        <v>3500</v>
      </c>
    </row>
    <row r="3474" spans="1:5" ht="15">
      <c r="A3474" s="223" t="s">
        <v>214</v>
      </c>
      <c r="B3474" s="223">
        <v>21</v>
      </c>
      <c r="C3474" s="223">
        <v>31</v>
      </c>
      <c r="D3474" s="223">
        <v>8</v>
      </c>
      <c r="E3474" s="223">
        <v>700</v>
      </c>
    </row>
    <row r="3475" spans="1:5" ht="15">
      <c r="A3475" s="223" t="s">
        <v>214</v>
      </c>
      <c r="B3475" s="223">
        <v>21</v>
      </c>
      <c r="C3475" s="223">
        <v>32</v>
      </c>
      <c r="D3475" s="223">
        <v>5</v>
      </c>
      <c r="E3475" s="223">
        <v>3850</v>
      </c>
    </row>
    <row r="3476" spans="1:5" ht="15">
      <c r="A3476" s="223" t="s">
        <v>214</v>
      </c>
      <c r="B3476" s="223">
        <v>21</v>
      </c>
      <c r="C3476" s="223">
        <v>33</v>
      </c>
      <c r="D3476" s="223">
        <v>5</v>
      </c>
      <c r="E3476" s="223">
        <v>10500</v>
      </c>
    </row>
    <row r="3477" spans="1:5" ht="15">
      <c r="A3477" s="223" t="s">
        <v>214</v>
      </c>
      <c r="B3477" s="223">
        <v>21</v>
      </c>
      <c r="C3477" s="223">
        <v>34</v>
      </c>
      <c r="D3477" s="223">
        <v>2</v>
      </c>
      <c r="E3477" s="223">
        <v>8583</v>
      </c>
    </row>
    <row r="3478" spans="1:5" ht="15">
      <c r="A3478" s="223" t="s">
        <v>214</v>
      </c>
      <c r="B3478" s="223">
        <v>21</v>
      </c>
      <c r="C3478" s="223">
        <v>34</v>
      </c>
      <c r="D3478" s="223">
        <v>4</v>
      </c>
      <c r="E3478" s="223">
        <v>3327</v>
      </c>
    </row>
    <row r="3479" spans="1:5" ht="15">
      <c r="A3479" s="223" t="s">
        <v>214</v>
      </c>
      <c r="B3479" s="223">
        <v>24</v>
      </c>
      <c r="C3479" s="223">
        <v>26</v>
      </c>
      <c r="D3479" s="223">
        <v>5</v>
      </c>
      <c r="E3479" s="223">
        <v>2654</v>
      </c>
    </row>
    <row r="3480" spans="1:5" ht="15">
      <c r="A3480" s="223" t="s">
        <v>214</v>
      </c>
      <c r="B3480" s="223">
        <v>24</v>
      </c>
      <c r="C3480" s="223">
        <v>26</v>
      </c>
      <c r="D3480" s="223">
        <v>7</v>
      </c>
      <c r="E3480" s="223">
        <v>98945</v>
      </c>
    </row>
    <row r="3481" spans="1:5" ht="15">
      <c r="A3481" s="223" t="s">
        <v>214</v>
      </c>
      <c r="B3481" s="223">
        <v>24</v>
      </c>
      <c r="C3481" s="223">
        <v>27</v>
      </c>
      <c r="D3481" s="223">
        <v>2</v>
      </c>
      <c r="E3481" s="223">
        <v>18749</v>
      </c>
    </row>
    <row r="3482" spans="1:5" ht="15">
      <c r="A3482" s="223" t="s">
        <v>214</v>
      </c>
      <c r="B3482" s="223">
        <v>24</v>
      </c>
      <c r="C3482" s="223">
        <v>27</v>
      </c>
      <c r="D3482" s="223">
        <v>3</v>
      </c>
      <c r="E3482" s="223">
        <v>17016</v>
      </c>
    </row>
    <row r="3483" spans="1:5" ht="15">
      <c r="A3483" s="223" t="s">
        <v>214</v>
      </c>
      <c r="B3483" s="223">
        <v>24</v>
      </c>
      <c r="C3483" s="223">
        <v>27</v>
      </c>
      <c r="D3483" s="223">
        <v>4</v>
      </c>
      <c r="E3483" s="223">
        <v>18830</v>
      </c>
    </row>
    <row r="3484" spans="1:5" ht="15">
      <c r="A3484" s="223" t="s">
        <v>214</v>
      </c>
      <c r="B3484" s="223">
        <v>29</v>
      </c>
      <c r="C3484" s="223">
        <v>27</v>
      </c>
      <c r="D3484" s="223">
        <v>5</v>
      </c>
      <c r="E3484" s="223">
        <v>6091</v>
      </c>
    </row>
    <row r="3485" spans="1:5" ht="15">
      <c r="A3485" s="223" t="s">
        <v>216</v>
      </c>
      <c r="B3485" s="223">
        <v>21</v>
      </c>
      <c r="C3485" s="223">
        <v>21</v>
      </c>
      <c r="D3485" s="223">
        <v>2</v>
      </c>
      <c r="E3485" s="223">
        <v>144434</v>
      </c>
    </row>
    <row r="3486" spans="1:5" ht="15">
      <c r="A3486" s="223" t="s">
        <v>216</v>
      </c>
      <c r="B3486" s="223">
        <v>21</v>
      </c>
      <c r="C3486" s="223">
        <v>21</v>
      </c>
      <c r="D3486" s="223">
        <v>3</v>
      </c>
      <c r="E3486" s="223">
        <v>43719</v>
      </c>
    </row>
    <row r="3487" spans="1:5" ht="15">
      <c r="A3487" s="223" t="s">
        <v>216</v>
      </c>
      <c r="B3487" s="223">
        <v>21</v>
      </c>
      <c r="C3487" s="223">
        <v>21</v>
      </c>
      <c r="D3487" s="223">
        <v>4</v>
      </c>
      <c r="E3487" s="223">
        <v>67143</v>
      </c>
    </row>
    <row r="3488" spans="1:5" ht="15">
      <c r="A3488" s="223" t="s">
        <v>216</v>
      </c>
      <c r="B3488" s="223">
        <v>21</v>
      </c>
      <c r="C3488" s="223">
        <v>21</v>
      </c>
      <c r="D3488" s="223">
        <v>5</v>
      </c>
      <c r="E3488" s="223">
        <v>1200</v>
      </c>
    </row>
    <row r="3489" spans="1:5" ht="15">
      <c r="A3489" s="223" t="s">
        <v>216</v>
      </c>
      <c r="B3489" s="223">
        <v>21</v>
      </c>
      <c r="C3489" s="223">
        <v>21</v>
      </c>
      <c r="D3489" s="223">
        <v>7</v>
      </c>
      <c r="E3489" s="223">
        <v>1200</v>
      </c>
    </row>
    <row r="3490" spans="1:5" ht="15">
      <c r="A3490" s="223" t="s">
        <v>216</v>
      </c>
      <c r="B3490" s="223">
        <v>21</v>
      </c>
      <c r="C3490" s="223">
        <v>21</v>
      </c>
      <c r="D3490" s="223">
        <v>8</v>
      </c>
      <c r="E3490" s="223">
        <v>1200</v>
      </c>
    </row>
    <row r="3491" spans="1:5" ht="15">
      <c r="A3491" s="223" t="s">
        <v>216</v>
      </c>
      <c r="B3491" s="223">
        <v>21</v>
      </c>
      <c r="C3491" s="223">
        <v>21</v>
      </c>
      <c r="D3491" s="223">
        <v>9</v>
      </c>
      <c r="E3491" s="223">
        <v>200</v>
      </c>
    </row>
    <row r="3492" spans="1:5" ht="15">
      <c r="A3492" s="223" t="s">
        <v>216</v>
      </c>
      <c r="B3492" s="223">
        <v>21</v>
      </c>
      <c r="C3492" s="223">
        <v>26</v>
      </c>
      <c r="D3492" s="223">
        <v>2</v>
      </c>
      <c r="E3492" s="223">
        <v>492602</v>
      </c>
    </row>
    <row r="3493" spans="1:5" ht="15">
      <c r="A3493" s="223" t="s">
        <v>216</v>
      </c>
      <c r="B3493" s="223">
        <v>21</v>
      </c>
      <c r="C3493" s="223">
        <v>26</v>
      </c>
      <c r="D3493" s="223">
        <v>3</v>
      </c>
      <c r="E3493" s="223">
        <v>99168</v>
      </c>
    </row>
    <row r="3494" spans="1:5" ht="15">
      <c r="A3494" s="223" t="s">
        <v>216</v>
      </c>
      <c r="B3494" s="223">
        <v>21</v>
      </c>
      <c r="C3494" s="223">
        <v>26</v>
      </c>
      <c r="D3494" s="223">
        <v>4</v>
      </c>
      <c r="E3494" s="223">
        <v>233881</v>
      </c>
    </row>
    <row r="3495" spans="1:5" ht="15">
      <c r="A3495" s="223" t="s">
        <v>216</v>
      </c>
      <c r="B3495" s="223">
        <v>21</v>
      </c>
      <c r="C3495" s="223">
        <v>26</v>
      </c>
      <c r="D3495" s="223">
        <v>5</v>
      </c>
      <c r="E3495" s="223">
        <v>7500</v>
      </c>
    </row>
    <row r="3496" spans="1:5" ht="15">
      <c r="A3496" s="223" t="s">
        <v>216</v>
      </c>
      <c r="B3496" s="223">
        <v>21</v>
      </c>
      <c r="C3496" s="223">
        <v>26</v>
      </c>
      <c r="D3496" s="223">
        <v>7</v>
      </c>
      <c r="E3496" s="223">
        <v>454003</v>
      </c>
    </row>
    <row r="3497" spans="1:5" ht="15">
      <c r="A3497" s="223" t="s">
        <v>216</v>
      </c>
      <c r="B3497" s="223">
        <v>21</v>
      </c>
      <c r="C3497" s="223">
        <v>26</v>
      </c>
      <c r="D3497" s="223">
        <v>8</v>
      </c>
      <c r="E3497" s="223">
        <v>4000</v>
      </c>
    </row>
    <row r="3498" spans="1:5" ht="15">
      <c r="A3498" s="223" t="s">
        <v>216</v>
      </c>
      <c r="B3498" s="223">
        <v>21</v>
      </c>
      <c r="C3498" s="223">
        <v>26</v>
      </c>
      <c r="D3498" s="223">
        <v>9</v>
      </c>
      <c r="E3498" s="223">
        <v>2000</v>
      </c>
    </row>
    <row r="3499" spans="1:5" ht="15">
      <c r="A3499" s="223" t="s">
        <v>216</v>
      </c>
      <c r="B3499" s="223">
        <v>21</v>
      </c>
      <c r="C3499" s="223">
        <v>27</v>
      </c>
      <c r="D3499" s="223">
        <v>0</v>
      </c>
      <c r="E3499" s="223">
        <v>4000</v>
      </c>
    </row>
    <row r="3500" spans="1:5" ht="15">
      <c r="A3500" s="223" t="s">
        <v>216</v>
      </c>
      <c r="B3500" s="223">
        <v>21</v>
      </c>
      <c r="C3500" s="223">
        <v>27</v>
      </c>
      <c r="D3500" s="223">
        <v>2</v>
      </c>
      <c r="E3500" s="223">
        <v>986418</v>
      </c>
    </row>
    <row r="3501" spans="1:5" ht="15">
      <c r="A3501" s="223" t="s">
        <v>216</v>
      </c>
      <c r="B3501" s="223">
        <v>21</v>
      </c>
      <c r="C3501" s="223">
        <v>27</v>
      </c>
      <c r="D3501" s="223">
        <v>3</v>
      </c>
      <c r="E3501" s="223">
        <v>252340</v>
      </c>
    </row>
    <row r="3502" spans="1:5" ht="15">
      <c r="A3502" s="223" t="s">
        <v>216</v>
      </c>
      <c r="B3502" s="223">
        <v>21</v>
      </c>
      <c r="C3502" s="223">
        <v>27</v>
      </c>
      <c r="D3502" s="223">
        <v>4</v>
      </c>
      <c r="E3502" s="223">
        <v>565825</v>
      </c>
    </row>
    <row r="3503" spans="1:5" ht="15">
      <c r="A3503" s="223" t="s">
        <v>216</v>
      </c>
      <c r="B3503" s="223">
        <v>21</v>
      </c>
      <c r="C3503" s="223">
        <v>27</v>
      </c>
      <c r="D3503" s="223">
        <v>5</v>
      </c>
      <c r="E3503" s="223">
        <v>8000</v>
      </c>
    </row>
    <row r="3504" spans="1:5" ht="15">
      <c r="A3504" s="223" t="s">
        <v>216</v>
      </c>
      <c r="B3504" s="223">
        <v>21</v>
      </c>
      <c r="C3504" s="223">
        <v>27</v>
      </c>
      <c r="D3504" s="223">
        <v>7</v>
      </c>
      <c r="E3504" s="223">
        <v>9800</v>
      </c>
    </row>
    <row r="3505" spans="1:5" ht="15">
      <c r="A3505" s="223" t="s">
        <v>216</v>
      </c>
      <c r="B3505" s="223">
        <v>21</v>
      </c>
      <c r="C3505" s="223">
        <v>27</v>
      </c>
      <c r="D3505" s="223">
        <v>8</v>
      </c>
      <c r="E3505" s="223">
        <v>1000</v>
      </c>
    </row>
    <row r="3506" spans="1:5" ht="15">
      <c r="A3506" s="223" t="s">
        <v>216</v>
      </c>
      <c r="B3506" s="223">
        <v>21</v>
      </c>
      <c r="C3506" s="223">
        <v>27</v>
      </c>
      <c r="D3506" s="223">
        <v>9</v>
      </c>
      <c r="E3506" s="223">
        <v>2500</v>
      </c>
    </row>
    <row r="3507" spans="1:5" ht="15">
      <c r="A3507" s="223" t="s">
        <v>216</v>
      </c>
      <c r="B3507" s="223">
        <v>21</v>
      </c>
      <c r="C3507" s="223">
        <v>31</v>
      </c>
      <c r="D3507" s="223">
        <v>2</v>
      </c>
      <c r="E3507" s="223">
        <v>32579</v>
      </c>
    </row>
    <row r="3508" spans="1:5" ht="15">
      <c r="A3508" s="223" t="s">
        <v>216</v>
      </c>
      <c r="B3508" s="223">
        <v>21</v>
      </c>
      <c r="C3508" s="223">
        <v>31</v>
      </c>
      <c r="D3508" s="223">
        <v>3</v>
      </c>
      <c r="E3508" s="223">
        <v>1000</v>
      </c>
    </row>
    <row r="3509" spans="1:5" ht="15">
      <c r="A3509" s="223" t="s">
        <v>216</v>
      </c>
      <c r="B3509" s="223">
        <v>21</v>
      </c>
      <c r="C3509" s="223">
        <v>31</v>
      </c>
      <c r="D3509" s="223">
        <v>4</v>
      </c>
      <c r="E3509" s="223">
        <v>4540</v>
      </c>
    </row>
    <row r="3510" spans="1:5" ht="15">
      <c r="A3510" s="223" t="s">
        <v>216</v>
      </c>
      <c r="B3510" s="223">
        <v>21</v>
      </c>
      <c r="C3510" s="223">
        <v>31</v>
      </c>
      <c r="D3510" s="223">
        <v>5</v>
      </c>
      <c r="E3510" s="223">
        <v>1000</v>
      </c>
    </row>
    <row r="3511" spans="1:5" ht="15">
      <c r="A3511" s="223" t="s">
        <v>216</v>
      </c>
      <c r="B3511" s="223">
        <v>21</v>
      </c>
      <c r="C3511" s="223">
        <v>31</v>
      </c>
      <c r="D3511" s="223">
        <v>7</v>
      </c>
      <c r="E3511" s="223">
        <v>4000</v>
      </c>
    </row>
    <row r="3512" spans="1:5" ht="15">
      <c r="A3512" s="223" t="s">
        <v>216</v>
      </c>
      <c r="B3512" s="223">
        <v>21</v>
      </c>
      <c r="C3512" s="223">
        <v>31</v>
      </c>
      <c r="D3512" s="223">
        <v>8</v>
      </c>
      <c r="E3512" s="223">
        <v>500</v>
      </c>
    </row>
    <row r="3513" spans="1:5" ht="15">
      <c r="A3513" s="223" t="s">
        <v>216</v>
      </c>
      <c r="B3513" s="223">
        <v>21</v>
      </c>
      <c r="C3513" s="223">
        <v>32</v>
      </c>
      <c r="D3513" s="223">
        <v>9</v>
      </c>
      <c r="E3513" s="223">
        <v>500</v>
      </c>
    </row>
    <row r="3514" spans="1:5" ht="15">
      <c r="A3514" s="223" t="s">
        <v>216</v>
      </c>
      <c r="B3514" s="223">
        <v>21</v>
      </c>
      <c r="C3514" s="223">
        <v>33</v>
      </c>
      <c r="D3514" s="223">
        <v>5</v>
      </c>
      <c r="E3514" s="223">
        <v>2000</v>
      </c>
    </row>
    <row r="3515" spans="1:5" ht="15">
      <c r="A3515" s="223" t="s">
        <v>216</v>
      </c>
      <c r="B3515" s="223">
        <v>21</v>
      </c>
      <c r="C3515" s="223">
        <v>33</v>
      </c>
      <c r="D3515" s="223">
        <v>7</v>
      </c>
      <c r="E3515" s="223">
        <v>3556</v>
      </c>
    </row>
    <row r="3516" spans="1:5" ht="15">
      <c r="A3516" s="223" t="s">
        <v>216</v>
      </c>
      <c r="B3516" s="223">
        <v>24</v>
      </c>
      <c r="C3516" s="223">
        <v>27</v>
      </c>
      <c r="D3516" s="223">
        <v>3</v>
      </c>
      <c r="E3516" s="223">
        <v>213929</v>
      </c>
    </row>
    <row r="3517" spans="1:5" ht="15">
      <c r="A3517" s="223" t="s">
        <v>216</v>
      </c>
      <c r="B3517" s="223">
        <v>24</v>
      </c>
      <c r="C3517" s="223">
        <v>27</v>
      </c>
      <c r="D3517" s="223">
        <v>4</v>
      </c>
      <c r="E3517" s="223">
        <v>140268</v>
      </c>
    </row>
    <row r="3518" spans="1:5" ht="15">
      <c r="A3518" s="223" t="s">
        <v>216</v>
      </c>
      <c r="B3518" s="223">
        <v>24</v>
      </c>
      <c r="C3518" s="223">
        <v>27</v>
      </c>
      <c r="D3518" s="223">
        <v>7</v>
      </c>
      <c r="E3518" s="223">
        <v>79969</v>
      </c>
    </row>
    <row r="3519" spans="1:5" ht="15">
      <c r="A3519" s="223" t="s">
        <v>48</v>
      </c>
      <c r="B3519" s="223">
        <v>21</v>
      </c>
      <c r="C3519" s="223">
        <v>21</v>
      </c>
      <c r="D3519" s="223">
        <v>2</v>
      </c>
      <c r="E3519" s="223">
        <v>334198</v>
      </c>
    </row>
    <row r="3520" spans="1:5" ht="15">
      <c r="A3520" s="223" t="s">
        <v>48</v>
      </c>
      <c r="B3520" s="223">
        <v>21</v>
      </c>
      <c r="C3520" s="223">
        <v>21</v>
      </c>
      <c r="D3520" s="223">
        <v>3</v>
      </c>
      <c r="E3520" s="223">
        <v>134888</v>
      </c>
    </row>
    <row r="3521" spans="1:5" ht="15">
      <c r="A3521" s="223" t="s">
        <v>48</v>
      </c>
      <c r="B3521" s="223">
        <v>21</v>
      </c>
      <c r="C3521" s="223">
        <v>21</v>
      </c>
      <c r="D3521" s="223">
        <v>4</v>
      </c>
      <c r="E3521" s="223">
        <v>148618</v>
      </c>
    </row>
    <row r="3522" spans="1:5" ht="15">
      <c r="A3522" s="223" t="s">
        <v>48</v>
      </c>
      <c r="B3522" s="223">
        <v>21</v>
      </c>
      <c r="C3522" s="223">
        <v>21</v>
      </c>
      <c r="D3522" s="223">
        <v>7</v>
      </c>
      <c r="E3522" s="223">
        <v>13650</v>
      </c>
    </row>
    <row r="3523" spans="1:5" ht="15">
      <c r="A3523" s="223" t="s">
        <v>48</v>
      </c>
      <c r="B3523" s="223">
        <v>21</v>
      </c>
      <c r="C3523" s="223">
        <v>25</v>
      </c>
      <c r="D3523" s="223">
        <v>3</v>
      </c>
      <c r="E3523" s="223">
        <v>108683</v>
      </c>
    </row>
    <row r="3524" spans="1:5" ht="15">
      <c r="A3524" s="223" t="s">
        <v>48</v>
      </c>
      <c r="B3524" s="223">
        <v>21</v>
      </c>
      <c r="C3524" s="223">
        <v>25</v>
      </c>
      <c r="D3524" s="223">
        <v>4</v>
      </c>
      <c r="E3524" s="223">
        <v>59605</v>
      </c>
    </row>
    <row r="3525" spans="1:5" ht="15">
      <c r="A3525" s="223" t="s">
        <v>48</v>
      </c>
      <c r="B3525" s="223">
        <v>21</v>
      </c>
      <c r="C3525" s="223">
        <v>26</v>
      </c>
      <c r="D3525" s="223">
        <v>2</v>
      </c>
      <c r="E3525" s="223">
        <v>2529223</v>
      </c>
    </row>
    <row r="3526" spans="1:5" ht="15">
      <c r="A3526" s="223" t="s">
        <v>48</v>
      </c>
      <c r="B3526" s="223">
        <v>21</v>
      </c>
      <c r="C3526" s="223">
        <v>26</v>
      </c>
      <c r="D3526" s="223">
        <v>3</v>
      </c>
      <c r="E3526" s="223">
        <v>38076</v>
      </c>
    </row>
    <row r="3527" spans="1:5" ht="15">
      <c r="A3527" s="223" t="s">
        <v>48</v>
      </c>
      <c r="B3527" s="223">
        <v>21</v>
      </c>
      <c r="C3527" s="223">
        <v>26</v>
      </c>
      <c r="D3527" s="223">
        <v>4</v>
      </c>
      <c r="E3527" s="223">
        <v>872372</v>
      </c>
    </row>
    <row r="3528" spans="1:5" ht="15">
      <c r="A3528" s="223" t="s">
        <v>48</v>
      </c>
      <c r="B3528" s="223">
        <v>21</v>
      </c>
      <c r="C3528" s="223">
        <v>26</v>
      </c>
      <c r="D3528" s="223">
        <v>7</v>
      </c>
      <c r="E3528" s="223">
        <v>262500</v>
      </c>
    </row>
    <row r="3529" spans="1:5" ht="15">
      <c r="A3529" s="223" t="s">
        <v>48</v>
      </c>
      <c r="B3529" s="223">
        <v>21</v>
      </c>
      <c r="C3529" s="223">
        <v>27</v>
      </c>
      <c r="D3529" s="223">
        <v>0</v>
      </c>
      <c r="E3529" s="223">
        <v>26250</v>
      </c>
    </row>
    <row r="3530" spans="1:5" ht="15">
      <c r="A3530" s="223" t="s">
        <v>48</v>
      </c>
      <c r="B3530" s="223">
        <v>21</v>
      </c>
      <c r="C3530" s="223">
        <v>27</v>
      </c>
      <c r="D3530" s="223">
        <v>2</v>
      </c>
      <c r="E3530" s="223">
        <v>3403137</v>
      </c>
    </row>
    <row r="3531" spans="1:5" ht="15">
      <c r="A3531" s="223" t="s">
        <v>48</v>
      </c>
      <c r="B3531" s="223">
        <v>21</v>
      </c>
      <c r="C3531" s="223">
        <v>27</v>
      </c>
      <c r="D3531" s="223">
        <v>3</v>
      </c>
      <c r="E3531" s="223">
        <v>2077520</v>
      </c>
    </row>
    <row r="3532" spans="1:5" ht="15">
      <c r="A3532" s="223" t="s">
        <v>48</v>
      </c>
      <c r="B3532" s="223">
        <v>21</v>
      </c>
      <c r="C3532" s="223">
        <v>27</v>
      </c>
      <c r="D3532" s="223">
        <v>4</v>
      </c>
      <c r="E3532" s="223">
        <v>2518511</v>
      </c>
    </row>
    <row r="3533" spans="1:5" ht="15">
      <c r="A3533" s="223" t="s">
        <v>48</v>
      </c>
      <c r="B3533" s="223">
        <v>21</v>
      </c>
      <c r="C3533" s="223">
        <v>27</v>
      </c>
      <c r="D3533" s="223">
        <v>5</v>
      </c>
      <c r="E3533" s="223">
        <v>42286</v>
      </c>
    </row>
    <row r="3534" spans="1:5" ht="15">
      <c r="A3534" s="223" t="s">
        <v>48</v>
      </c>
      <c r="B3534" s="223">
        <v>21</v>
      </c>
      <c r="C3534" s="223">
        <v>29</v>
      </c>
      <c r="D3534" s="223">
        <v>7</v>
      </c>
      <c r="E3534" s="223">
        <v>105000</v>
      </c>
    </row>
    <row r="3535" spans="1:5" ht="15">
      <c r="A3535" s="223" t="s">
        <v>48</v>
      </c>
      <c r="B3535" s="223">
        <v>21</v>
      </c>
      <c r="C3535" s="223">
        <v>31</v>
      </c>
      <c r="D3535" s="223">
        <v>2</v>
      </c>
      <c r="E3535" s="223">
        <v>6000</v>
      </c>
    </row>
    <row r="3536" spans="1:5" ht="15">
      <c r="A3536" s="223" t="s">
        <v>48</v>
      </c>
      <c r="B3536" s="223">
        <v>21</v>
      </c>
      <c r="C3536" s="223">
        <v>31</v>
      </c>
      <c r="D3536" s="223">
        <v>4</v>
      </c>
      <c r="E3536" s="223">
        <v>1452</v>
      </c>
    </row>
    <row r="3537" spans="1:5" ht="15">
      <c r="A3537" s="223" t="s">
        <v>48</v>
      </c>
      <c r="B3537" s="223">
        <v>21</v>
      </c>
      <c r="C3537" s="223">
        <v>34</v>
      </c>
      <c r="D3537" s="223">
        <v>2</v>
      </c>
      <c r="E3537" s="223">
        <v>82753</v>
      </c>
    </row>
    <row r="3538" spans="1:5" ht="15">
      <c r="A3538" s="223" t="s">
        <v>48</v>
      </c>
      <c r="B3538" s="223">
        <v>21</v>
      </c>
      <c r="C3538" s="223">
        <v>34</v>
      </c>
      <c r="D3538" s="223">
        <v>4</v>
      </c>
      <c r="E3538" s="223">
        <v>18973</v>
      </c>
    </row>
    <row r="3539" spans="1:5" ht="15">
      <c r="A3539" s="223" t="s">
        <v>48</v>
      </c>
      <c r="B3539" s="223">
        <v>24</v>
      </c>
      <c r="C3539" s="223">
        <v>27</v>
      </c>
      <c r="D3539" s="223">
        <v>2</v>
      </c>
      <c r="E3539" s="223">
        <v>45857</v>
      </c>
    </row>
    <row r="3540" spans="1:5" ht="15">
      <c r="A3540" s="223" t="s">
        <v>48</v>
      </c>
      <c r="B3540" s="223">
        <v>24</v>
      </c>
      <c r="C3540" s="223">
        <v>27</v>
      </c>
      <c r="D3540" s="223">
        <v>3</v>
      </c>
      <c r="E3540" s="223">
        <v>1106653</v>
      </c>
    </row>
    <row r="3541" spans="1:5" ht="15">
      <c r="A3541" s="223" t="s">
        <v>48</v>
      </c>
      <c r="B3541" s="223">
        <v>24</v>
      </c>
      <c r="C3541" s="223">
        <v>27</v>
      </c>
      <c r="D3541" s="223">
        <v>4</v>
      </c>
      <c r="E3541" s="223">
        <v>686395</v>
      </c>
    </row>
    <row r="3542" spans="1:5" ht="15">
      <c r="A3542" s="223" t="s">
        <v>48</v>
      </c>
      <c r="B3542" s="223">
        <v>29</v>
      </c>
      <c r="C3542" s="223">
        <v>27</v>
      </c>
      <c r="D3542" s="223">
        <v>3</v>
      </c>
      <c r="E3542" s="223">
        <v>291286</v>
      </c>
    </row>
    <row r="3543" spans="1:5" ht="15">
      <c r="A3543" s="223" t="s">
        <v>48</v>
      </c>
      <c r="B3543" s="223">
        <v>29</v>
      </c>
      <c r="C3543" s="223">
        <v>27</v>
      </c>
      <c r="D3543" s="223">
        <v>4</v>
      </c>
      <c r="E3543" s="223">
        <v>171269</v>
      </c>
    </row>
    <row r="3544" spans="1:5" ht="15">
      <c r="A3544" s="223" t="s">
        <v>48</v>
      </c>
      <c r="B3544" s="223">
        <v>29</v>
      </c>
      <c r="C3544" s="223">
        <v>31</v>
      </c>
      <c r="D3544" s="223">
        <v>3</v>
      </c>
      <c r="E3544" s="223">
        <v>34000</v>
      </c>
    </row>
    <row r="3545" spans="1:5" ht="15">
      <c r="A3545" s="223" t="s">
        <v>48</v>
      </c>
      <c r="B3545" s="223">
        <v>29</v>
      </c>
      <c r="C3545" s="223">
        <v>31</v>
      </c>
      <c r="D3545" s="223">
        <v>4</v>
      </c>
      <c r="E3545" s="223">
        <v>4534</v>
      </c>
    </row>
    <row r="3546" spans="1:5" ht="15">
      <c r="A3546" s="223" t="s">
        <v>50</v>
      </c>
      <c r="B3546" s="223">
        <v>21</v>
      </c>
      <c r="C3546" s="223">
        <v>21</v>
      </c>
      <c r="D3546" s="223">
        <v>2</v>
      </c>
      <c r="E3546" s="223">
        <v>120635</v>
      </c>
    </row>
    <row r="3547" spans="1:5" ht="15">
      <c r="A3547" s="223" t="s">
        <v>50</v>
      </c>
      <c r="B3547" s="223">
        <v>21</v>
      </c>
      <c r="C3547" s="223">
        <v>21</v>
      </c>
      <c r="D3547" s="223">
        <v>3</v>
      </c>
      <c r="E3547" s="223">
        <v>47420</v>
      </c>
    </row>
    <row r="3548" spans="1:5" ht="15">
      <c r="A3548" s="223" t="s">
        <v>50</v>
      </c>
      <c r="B3548" s="223">
        <v>21</v>
      </c>
      <c r="C3548" s="223">
        <v>21</v>
      </c>
      <c r="D3548" s="223">
        <v>4</v>
      </c>
      <c r="E3548" s="223">
        <v>59325</v>
      </c>
    </row>
    <row r="3549" spans="1:5" ht="15">
      <c r="A3549" s="223" t="s">
        <v>50</v>
      </c>
      <c r="B3549" s="223">
        <v>21</v>
      </c>
      <c r="C3549" s="223">
        <v>21</v>
      </c>
      <c r="D3549" s="223">
        <v>5</v>
      </c>
      <c r="E3549" s="223">
        <v>1710</v>
      </c>
    </row>
    <row r="3550" spans="1:5" ht="15">
      <c r="A3550" s="223" t="s">
        <v>50</v>
      </c>
      <c r="B3550" s="223">
        <v>21</v>
      </c>
      <c r="C3550" s="223">
        <v>23</v>
      </c>
      <c r="D3550" s="223">
        <v>2</v>
      </c>
      <c r="E3550" s="223">
        <v>64954</v>
      </c>
    </row>
    <row r="3551" spans="1:5" ht="15">
      <c r="A3551" s="223" t="s">
        <v>50</v>
      </c>
      <c r="B3551" s="223">
        <v>21</v>
      </c>
      <c r="C3551" s="223">
        <v>23</v>
      </c>
      <c r="D3551" s="223">
        <v>3</v>
      </c>
      <c r="E3551" s="223">
        <v>78831</v>
      </c>
    </row>
    <row r="3552" spans="1:5" ht="15">
      <c r="A3552" s="223" t="s">
        <v>50</v>
      </c>
      <c r="B3552" s="223">
        <v>21</v>
      </c>
      <c r="C3552" s="223">
        <v>23</v>
      </c>
      <c r="D3552" s="223">
        <v>4</v>
      </c>
      <c r="E3552" s="223">
        <v>61340</v>
      </c>
    </row>
    <row r="3553" spans="1:5" ht="15">
      <c r="A3553" s="223" t="s">
        <v>50</v>
      </c>
      <c r="B3553" s="223">
        <v>21</v>
      </c>
      <c r="C3553" s="223">
        <v>26</v>
      </c>
      <c r="D3553" s="223">
        <v>2</v>
      </c>
      <c r="E3553" s="223">
        <v>178458</v>
      </c>
    </row>
    <row r="3554" spans="1:5" ht="15">
      <c r="A3554" s="223" t="s">
        <v>50</v>
      </c>
      <c r="B3554" s="223">
        <v>21</v>
      </c>
      <c r="C3554" s="223">
        <v>26</v>
      </c>
      <c r="D3554" s="223">
        <v>3</v>
      </c>
      <c r="E3554" s="223">
        <v>34432</v>
      </c>
    </row>
    <row r="3555" spans="1:5" ht="15">
      <c r="A3555" s="223" t="s">
        <v>50</v>
      </c>
      <c r="B3555" s="223">
        <v>21</v>
      </c>
      <c r="C3555" s="223">
        <v>26</v>
      </c>
      <c r="D3555" s="223">
        <v>4</v>
      </c>
      <c r="E3555" s="223">
        <v>85193</v>
      </c>
    </row>
    <row r="3556" spans="1:5" ht="15">
      <c r="A3556" s="223" t="s">
        <v>50</v>
      </c>
      <c r="B3556" s="223">
        <v>21</v>
      </c>
      <c r="C3556" s="223">
        <v>26</v>
      </c>
      <c r="D3556" s="223">
        <v>7</v>
      </c>
      <c r="E3556" s="223">
        <v>618533</v>
      </c>
    </row>
    <row r="3557" spans="1:5" ht="15">
      <c r="A3557" s="223" t="s">
        <v>50</v>
      </c>
      <c r="B3557" s="223">
        <v>21</v>
      </c>
      <c r="C3557" s="223">
        <v>27</v>
      </c>
      <c r="D3557" s="223">
        <v>2</v>
      </c>
      <c r="E3557" s="223">
        <v>907490</v>
      </c>
    </row>
    <row r="3558" spans="1:5" ht="15">
      <c r="A3558" s="223" t="s">
        <v>50</v>
      </c>
      <c r="B3558" s="223">
        <v>21</v>
      </c>
      <c r="C3558" s="223">
        <v>27</v>
      </c>
      <c r="D3558" s="223">
        <v>3</v>
      </c>
      <c r="E3558" s="223">
        <v>605190</v>
      </c>
    </row>
    <row r="3559" spans="1:5" ht="15">
      <c r="A3559" s="223" t="s">
        <v>50</v>
      </c>
      <c r="B3559" s="223">
        <v>21</v>
      </c>
      <c r="C3559" s="223">
        <v>27</v>
      </c>
      <c r="D3559" s="223">
        <v>4</v>
      </c>
      <c r="E3559" s="223">
        <v>753883</v>
      </c>
    </row>
    <row r="3560" spans="1:5" ht="15">
      <c r="A3560" s="223" t="s">
        <v>50</v>
      </c>
      <c r="B3560" s="223">
        <v>21</v>
      </c>
      <c r="C3560" s="223">
        <v>27</v>
      </c>
      <c r="D3560" s="223">
        <v>5</v>
      </c>
      <c r="E3560" s="223">
        <v>485453</v>
      </c>
    </row>
    <row r="3561" spans="1:5" ht="15">
      <c r="A3561" s="223" t="s">
        <v>50</v>
      </c>
      <c r="B3561" s="223">
        <v>21</v>
      </c>
      <c r="C3561" s="223">
        <v>27</v>
      </c>
      <c r="D3561" s="223">
        <v>7</v>
      </c>
      <c r="E3561" s="223">
        <v>-340000</v>
      </c>
    </row>
    <row r="3562" spans="1:5" ht="15">
      <c r="A3562" s="223" t="s">
        <v>50</v>
      </c>
      <c r="B3562" s="223">
        <v>21</v>
      </c>
      <c r="C3562" s="223">
        <v>34</v>
      </c>
      <c r="D3562" s="223">
        <v>2</v>
      </c>
      <c r="E3562" s="223">
        <v>23469</v>
      </c>
    </row>
    <row r="3563" spans="1:5" ht="15">
      <c r="A3563" s="223" t="s">
        <v>50</v>
      </c>
      <c r="B3563" s="223">
        <v>21</v>
      </c>
      <c r="C3563" s="223">
        <v>34</v>
      </c>
      <c r="D3563" s="223">
        <v>4</v>
      </c>
      <c r="E3563" s="223">
        <v>5416</v>
      </c>
    </row>
    <row r="3564" spans="1:5" ht="15">
      <c r="A3564" s="223" t="s">
        <v>50</v>
      </c>
      <c r="B3564" s="223">
        <v>23</v>
      </c>
      <c r="C3564" s="223">
        <v>27</v>
      </c>
      <c r="D3564" s="223">
        <v>4</v>
      </c>
      <c r="E3564" s="223">
        <v>52381</v>
      </c>
    </row>
    <row r="3565" spans="1:5" ht="15">
      <c r="A3565" s="223" t="s">
        <v>50</v>
      </c>
      <c r="B3565" s="223">
        <v>24</v>
      </c>
      <c r="C3565" s="223">
        <v>26</v>
      </c>
      <c r="D3565" s="223">
        <v>2</v>
      </c>
      <c r="E3565" s="223">
        <v>182839</v>
      </c>
    </row>
    <row r="3566" spans="1:5" ht="15">
      <c r="A3566" s="223" t="s">
        <v>50</v>
      </c>
      <c r="B3566" s="223">
        <v>24</v>
      </c>
      <c r="C3566" s="223">
        <v>26</v>
      </c>
      <c r="D3566" s="223">
        <v>4</v>
      </c>
      <c r="E3566" s="223">
        <v>42138</v>
      </c>
    </row>
    <row r="3567" spans="1:5" ht="15">
      <c r="A3567" s="223" t="s">
        <v>50</v>
      </c>
      <c r="B3567" s="223">
        <v>24</v>
      </c>
      <c r="C3567" s="223">
        <v>27</v>
      </c>
      <c r="D3567" s="223">
        <v>2</v>
      </c>
      <c r="E3567" s="223">
        <v>162263</v>
      </c>
    </row>
    <row r="3568" spans="1:5" ht="15">
      <c r="A3568" s="223" t="s">
        <v>50</v>
      </c>
      <c r="B3568" s="223">
        <v>24</v>
      </c>
      <c r="C3568" s="223">
        <v>27</v>
      </c>
      <c r="D3568" s="223">
        <v>3</v>
      </c>
      <c r="E3568" s="223">
        <v>83419</v>
      </c>
    </row>
    <row r="3569" spans="1:5" ht="15">
      <c r="A3569" s="223" t="s">
        <v>50</v>
      </c>
      <c r="B3569" s="223">
        <v>24</v>
      </c>
      <c r="C3569" s="223">
        <v>27</v>
      </c>
      <c r="D3569" s="223">
        <v>4</v>
      </c>
      <c r="E3569" s="223">
        <v>28734</v>
      </c>
    </row>
    <row r="3570" spans="1:5" ht="15">
      <c r="A3570" s="223" t="s">
        <v>316</v>
      </c>
      <c r="B3570" s="223">
        <v>21</v>
      </c>
      <c r="C3570" s="223">
        <v>26</v>
      </c>
      <c r="D3570" s="223">
        <v>7</v>
      </c>
      <c r="E3570" s="223">
        <v>70000</v>
      </c>
    </row>
    <row r="3571" spans="1:5" ht="15">
      <c r="A3571" s="223" t="s">
        <v>316</v>
      </c>
      <c r="B3571" s="223">
        <v>21</v>
      </c>
      <c r="C3571" s="223">
        <v>27</v>
      </c>
      <c r="D3571" s="223">
        <v>2</v>
      </c>
      <c r="E3571" s="223">
        <v>30132</v>
      </c>
    </row>
    <row r="3572" spans="1:5" ht="15">
      <c r="A3572" s="223" t="s">
        <v>316</v>
      </c>
      <c r="B3572" s="223">
        <v>21</v>
      </c>
      <c r="C3572" s="223">
        <v>27</v>
      </c>
      <c r="D3572" s="223">
        <v>3</v>
      </c>
      <c r="E3572" s="223">
        <v>25462</v>
      </c>
    </row>
    <row r="3573" spans="1:5" ht="15">
      <c r="A3573" s="223" t="s">
        <v>316</v>
      </c>
      <c r="B3573" s="223">
        <v>21</v>
      </c>
      <c r="C3573" s="223">
        <v>27</v>
      </c>
      <c r="D3573" s="223">
        <v>4</v>
      </c>
      <c r="E3573" s="223">
        <v>26856</v>
      </c>
    </row>
    <row r="3574" spans="1:5" ht="15">
      <c r="A3574" s="223" t="s">
        <v>316</v>
      </c>
      <c r="B3574" s="223">
        <v>21</v>
      </c>
      <c r="C3574" s="223">
        <v>27</v>
      </c>
      <c r="D3574" s="223">
        <v>5</v>
      </c>
      <c r="E3574" s="223">
        <v>499</v>
      </c>
    </row>
    <row r="3575" spans="1:5" ht="15">
      <c r="A3575" s="223" t="s">
        <v>316</v>
      </c>
      <c r="B3575" s="223">
        <v>21</v>
      </c>
      <c r="C3575" s="223">
        <v>27</v>
      </c>
      <c r="D3575" s="223">
        <v>7</v>
      </c>
      <c r="E3575" s="223">
        <v>4000</v>
      </c>
    </row>
    <row r="3576" spans="1:5" ht="15">
      <c r="A3576" s="223" t="s">
        <v>316</v>
      </c>
      <c r="B3576" s="223">
        <v>24</v>
      </c>
      <c r="C3576" s="223">
        <v>26</v>
      </c>
      <c r="D3576" s="223">
        <v>7</v>
      </c>
      <c r="E3576" s="223">
        <v>11000</v>
      </c>
    </row>
    <row r="3577" spans="1:5" ht="15">
      <c r="A3577" s="223" t="s">
        <v>318</v>
      </c>
      <c r="B3577" s="223">
        <v>21</v>
      </c>
      <c r="C3577" s="223">
        <v>21</v>
      </c>
      <c r="D3577" s="223">
        <v>2</v>
      </c>
      <c r="E3577" s="223">
        <v>436595</v>
      </c>
    </row>
    <row r="3578" spans="1:5" ht="15">
      <c r="A3578" s="223" t="s">
        <v>318</v>
      </c>
      <c r="B3578" s="223">
        <v>21</v>
      </c>
      <c r="C3578" s="223">
        <v>21</v>
      </c>
      <c r="D3578" s="223">
        <v>3</v>
      </c>
      <c r="E3578" s="223">
        <v>134410</v>
      </c>
    </row>
    <row r="3579" spans="1:5" ht="15">
      <c r="A3579" s="223" t="s">
        <v>318</v>
      </c>
      <c r="B3579" s="223">
        <v>21</v>
      </c>
      <c r="C3579" s="223">
        <v>21</v>
      </c>
      <c r="D3579" s="223">
        <v>4</v>
      </c>
      <c r="E3579" s="223">
        <v>186760</v>
      </c>
    </row>
    <row r="3580" spans="1:5" ht="15">
      <c r="A3580" s="223" t="s">
        <v>318</v>
      </c>
      <c r="B3580" s="223">
        <v>21</v>
      </c>
      <c r="C3580" s="223">
        <v>21</v>
      </c>
      <c r="D3580" s="223">
        <v>5</v>
      </c>
      <c r="E3580" s="223">
        <v>200</v>
      </c>
    </row>
    <row r="3581" spans="1:5" ht="15">
      <c r="A3581" s="223" t="s">
        <v>318</v>
      </c>
      <c r="B3581" s="223">
        <v>21</v>
      </c>
      <c r="C3581" s="223">
        <v>21</v>
      </c>
      <c r="D3581" s="223">
        <v>7</v>
      </c>
      <c r="E3581" s="223">
        <v>21488</v>
      </c>
    </row>
    <row r="3582" spans="1:5" ht="15">
      <c r="A3582" s="223" t="s">
        <v>318</v>
      </c>
      <c r="B3582" s="223">
        <v>21</v>
      </c>
      <c r="C3582" s="223">
        <v>21</v>
      </c>
      <c r="D3582" s="223">
        <v>8</v>
      </c>
      <c r="E3582" s="223">
        <v>2800</v>
      </c>
    </row>
    <row r="3583" spans="1:5" ht="15">
      <c r="A3583" s="223" t="s">
        <v>318</v>
      </c>
      <c r="B3583" s="223">
        <v>21</v>
      </c>
      <c r="C3583" s="223">
        <v>26</v>
      </c>
      <c r="D3583" s="223">
        <v>2</v>
      </c>
      <c r="E3583" s="223">
        <v>7175582</v>
      </c>
    </row>
    <row r="3584" spans="1:5" ht="15">
      <c r="A3584" s="223" t="s">
        <v>318</v>
      </c>
      <c r="B3584" s="223">
        <v>21</v>
      </c>
      <c r="C3584" s="223">
        <v>26</v>
      </c>
      <c r="D3584" s="223">
        <v>3</v>
      </c>
      <c r="E3584" s="223">
        <v>447992</v>
      </c>
    </row>
    <row r="3585" spans="1:5" ht="15">
      <c r="A3585" s="223" t="s">
        <v>318</v>
      </c>
      <c r="B3585" s="223">
        <v>21</v>
      </c>
      <c r="C3585" s="223">
        <v>26</v>
      </c>
      <c r="D3585" s="223">
        <v>4</v>
      </c>
      <c r="E3585" s="223">
        <v>2880161</v>
      </c>
    </row>
    <row r="3586" spans="1:5" ht="15">
      <c r="A3586" s="223" t="s">
        <v>318</v>
      </c>
      <c r="B3586" s="223">
        <v>21</v>
      </c>
      <c r="C3586" s="223">
        <v>26</v>
      </c>
      <c r="D3586" s="223">
        <v>5</v>
      </c>
      <c r="E3586" s="223">
        <v>45600</v>
      </c>
    </row>
    <row r="3587" spans="1:5" ht="15">
      <c r="A3587" s="223" t="s">
        <v>318</v>
      </c>
      <c r="B3587" s="223">
        <v>21</v>
      </c>
      <c r="C3587" s="223">
        <v>26</v>
      </c>
      <c r="D3587" s="223">
        <v>7</v>
      </c>
      <c r="E3587" s="223">
        <v>2500</v>
      </c>
    </row>
    <row r="3588" spans="1:5" ht="15">
      <c r="A3588" s="223" t="s">
        <v>318</v>
      </c>
      <c r="B3588" s="223">
        <v>21</v>
      </c>
      <c r="C3588" s="223">
        <v>26</v>
      </c>
      <c r="D3588" s="223">
        <v>8</v>
      </c>
      <c r="E3588" s="223">
        <v>2000</v>
      </c>
    </row>
    <row r="3589" spans="1:5" ht="15">
      <c r="A3589" s="223" t="s">
        <v>318</v>
      </c>
      <c r="B3589" s="223">
        <v>21</v>
      </c>
      <c r="C3589" s="223">
        <v>27</v>
      </c>
      <c r="D3589" s="223">
        <v>0</v>
      </c>
      <c r="E3589" s="223">
        <v>14000</v>
      </c>
    </row>
    <row r="3590" spans="1:5" ht="15">
      <c r="A3590" s="223" t="s">
        <v>318</v>
      </c>
      <c r="B3590" s="223">
        <v>21</v>
      </c>
      <c r="C3590" s="223">
        <v>27</v>
      </c>
      <c r="D3590" s="223">
        <v>2</v>
      </c>
      <c r="E3590" s="223">
        <v>9919770</v>
      </c>
    </row>
    <row r="3591" spans="1:5" ht="15">
      <c r="A3591" s="223" t="s">
        <v>318</v>
      </c>
      <c r="B3591" s="223">
        <v>21</v>
      </c>
      <c r="C3591" s="223">
        <v>27</v>
      </c>
      <c r="D3591" s="223">
        <v>3</v>
      </c>
      <c r="E3591" s="223">
        <v>9013773</v>
      </c>
    </row>
    <row r="3592" spans="1:5" ht="15">
      <c r="A3592" s="223" t="s">
        <v>318</v>
      </c>
      <c r="B3592" s="223">
        <v>21</v>
      </c>
      <c r="C3592" s="223">
        <v>27</v>
      </c>
      <c r="D3592" s="223">
        <v>4</v>
      </c>
      <c r="E3592" s="223">
        <v>9137588</v>
      </c>
    </row>
    <row r="3593" spans="1:5" ht="15">
      <c r="A3593" s="223" t="s">
        <v>318</v>
      </c>
      <c r="B3593" s="223">
        <v>21</v>
      </c>
      <c r="C3593" s="223">
        <v>27</v>
      </c>
      <c r="D3593" s="223">
        <v>5</v>
      </c>
      <c r="E3593" s="223">
        <v>74494</v>
      </c>
    </row>
    <row r="3594" spans="1:5" ht="15">
      <c r="A3594" s="223" t="s">
        <v>318</v>
      </c>
      <c r="B3594" s="223">
        <v>21</v>
      </c>
      <c r="C3594" s="223">
        <v>27</v>
      </c>
      <c r="D3594" s="223">
        <v>7</v>
      </c>
      <c r="E3594" s="223">
        <v>802579</v>
      </c>
    </row>
    <row r="3595" spans="1:5" ht="15">
      <c r="A3595" s="223" t="s">
        <v>318</v>
      </c>
      <c r="B3595" s="223">
        <v>21</v>
      </c>
      <c r="C3595" s="223">
        <v>27</v>
      </c>
      <c r="D3595" s="223">
        <v>8</v>
      </c>
      <c r="E3595" s="223">
        <v>5500</v>
      </c>
    </row>
    <row r="3596" spans="1:5" ht="15">
      <c r="A3596" s="223" t="s">
        <v>318</v>
      </c>
      <c r="B3596" s="223">
        <v>21</v>
      </c>
      <c r="C3596" s="223">
        <v>31</v>
      </c>
      <c r="D3596" s="223">
        <v>2</v>
      </c>
      <c r="E3596" s="223">
        <v>418157</v>
      </c>
    </row>
    <row r="3597" spans="1:5" ht="15">
      <c r="A3597" s="223" t="s">
        <v>318</v>
      </c>
      <c r="B3597" s="223">
        <v>21</v>
      </c>
      <c r="C3597" s="223">
        <v>31</v>
      </c>
      <c r="D3597" s="223">
        <v>3</v>
      </c>
      <c r="E3597" s="223">
        <v>32000</v>
      </c>
    </row>
    <row r="3598" spans="1:5" ht="15">
      <c r="A3598" s="223" t="s">
        <v>318</v>
      </c>
      <c r="B3598" s="223">
        <v>21</v>
      </c>
      <c r="C3598" s="223">
        <v>31</v>
      </c>
      <c r="D3598" s="223">
        <v>4</v>
      </c>
      <c r="E3598" s="223">
        <v>108233</v>
      </c>
    </row>
    <row r="3599" spans="1:5" ht="15">
      <c r="A3599" s="223" t="s">
        <v>318</v>
      </c>
      <c r="B3599" s="223">
        <v>21</v>
      </c>
      <c r="C3599" s="223">
        <v>31</v>
      </c>
      <c r="D3599" s="223">
        <v>7</v>
      </c>
      <c r="E3599" s="223">
        <v>9600</v>
      </c>
    </row>
    <row r="3600" spans="1:5" ht="15">
      <c r="A3600" s="223" t="s">
        <v>318</v>
      </c>
      <c r="B3600" s="223">
        <v>21</v>
      </c>
      <c r="C3600" s="223">
        <v>31</v>
      </c>
      <c r="D3600" s="223">
        <v>8</v>
      </c>
      <c r="E3600" s="223">
        <v>2500</v>
      </c>
    </row>
    <row r="3601" spans="1:5" ht="15">
      <c r="A3601" s="223" t="s">
        <v>318</v>
      </c>
      <c r="B3601" s="223">
        <v>21</v>
      </c>
      <c r="C3601" s="223">
        <v>32</v>
      </c>
      <c r="D3601" s="223">
        <v>5</v>
      </c>
      <c r="E3601" s="223">
        <v>5000</v>
      </c>
    </row>
    <row r="3602" spans="1:5" ht="15">
      <c r="A3602" s="223" t="s">
        <v>318</v>
      </c>
      <c r="B3602" s="223">
        <v>21</v>
      </c>
      <c r="C3602" s="223">
        <v>33</v>
      </c>
      <c r="D3602" s="223">
        <v>5</v>
      </c>
      <c r="E3602" s="223">
        <v>12597</v>
      </c>
    </row>
    <row r="3603" spans="1:5" ht="15">
      <c r="A3603" s="223" t="s">
        <v>318</v>
      </c>
      <c r="B3603" s="223">
        <v>21</v>
      </c>
      <c r="C3603" s="223">
        <v>33</v>
      </c>
      <c r="D3603" s="223">
        <v>7</v>
      </c>
      <c r="E3603" s="223">
        <v>70015</v>
      </c>
    </row>
    <row r="3604" spans="1:5" ht="15">
      <c r="A3604" s="223" t="s">
        <v>318</v>
      </c>
      <c r="B3604" s="223">
        <v>21</v>
      </c>
      <c r="C3604" s="223">
        <v>34</v>
      </c>
      <c r="D3604" s="223">
        <v>2</v>
      </c>
      <c r="E3604" s="223">
        <v>305296</v>
      </c>
    </row>
    <row r="3605" spans="1:5" ht="15">
      <c r="A3605" s="223" t="s">
        <v>318</v>
      </c>
      <c r="B3605" s="223">
        <v>21</v>
      </c>
      <c r="C3605" s="223">
        <v>34</v>
      </c>
      <c r="D3605" s="223">
        <v>4</v>
      </c>
      <c r="E3605" s="223">
        <v>73369</v>
      </c>
    </row>
    <row r="3606" spans="1:5" ht="15">
      <c r="A3606" s="223" t="s">
        <v>318</v>
      </c>
      <c r="B3606" s="223">
        <v>23</v>
      </c>
      <c r="C3606" s="223">
        <v>27</v>
      </c>
      <c r="D3606" s="223">
        <v>2</v>
      </c>
      <c r="E3606" s="223">
        <v>464038</v>
      </c>
    </row>
    <row r="3607" spans="1:5" ht="15">
      <c r="A3607" s="223" t="s">
        <v>318</v>
      </c>
      <c r="B3607" s="223">
        <v>23</v>
      </c>
      <c r="C3607" s="223">
        <v>27</v>
      </c>
      <c r="D3607" s="223">
        <v>3</v>
      </c>
      <c r="E3607" s="223">
        <v>21655</v>
      </c>
    </row>
    <row r="3608" spans="1:5" ht="15">
      <c r="A3608" s="223" t="s">
        <v>318</v>
      </c>
      <c r="B3608" s="223">
        <v>23</v>
      </c>
      <c r="C3608" s="223">
        <v>27</v>
      </c>
      <c r="D3608" s="223">
        <v>4</v>
      </c>
      <c r="E3608" s="223">
        <v>190032</v>
      </c>
    </row>
    <row r="3609" spans="1:5" ht="15">
      <c r="A3609" s="223" t="s">
        <v>318</v>
      </c>
      <c r="B3609" s="223">
        <v>23</v>
      </c>
      <c r="C3609" s="223">
        <v>33</v>
      </c>
      <c r="D3609" s="223">
        <v>5</v>
      </c>
      <c r="E3609" s="223">
        <v>59543</v>
      </c>
    </row>
    <row r="3610" spans="1:5" ht="15">
      <c r="A3610" s="223" t="s">
        <v>318</v>
      </c>
      <c r="B3610" s="223">
        <v>24</v>
      </c>
      <c r="C3610" s="223">
        <v>27</v>
      </c>
      <c r="D3610" s="223">
        <v>2</v>
      </c>
      <c r="E3610" s="223">
        <v>1453578</v>
      </c>
    </row>
    <row r="3611" spans="1:5" ht="15">
      <c r="A3611" s="223" t="s">
        <v>318</v>
      </c>
      <c r="B3611" s="223">
        <v>24</v>
      </c>
      <c r="C3611" s="223">
        <v>27</v>
      </c>
      <c r="D3611" s="223">
        <v>3</v>
      </c>
      <c r="E3611" s="223">
        <v>250750</v>
      </c>
    </row>
    <row r="3612" spans="1:5" ht="15">
      <c r="A3612" s="223" t="s">
        <v>318</v>
      </c>
      <c r="B3612" s="223">
        <v>24</v>
      </c>
      <c r="C3612" s="223">
        <v>27</v>
      </c>
      <c r="D3612" s="223">
        <v>4</v>
      </c>
      <c r="E3612" s="223">
        <v>691773</v>
      </c>
    </row>
    <row r="3613" spans="1:5" ht="15">
      <c r="A3613" s="223" t="s">
        <v>318</v>
      </c>
      <c r="B3613" s="223">
        <v>29</v>
      </c>
      <c r="C3613" s="223">
        <v>21</v>
      </c>
      <c r="D3613" s="223">
        <v>7</v>
      </c>
      <c r="E3613" s="223">
        <v>115000</v>
      </c>
    </row>
    <row r="3614" spans="1:5" ht="15">
      <c r="A3614" s="223" t="s">
        <v>320</v>
      </c>
      <c r="B3614" s="223">
        <v>21</v>
      </c>
      <c r="C3614" s="223">
        <v>27</v>
      </c>
      <c r="D3614" s="223">
        <v>2</v>
      </c>
      <c r="E3614" s="223">
        <v>52977</v>
      </c>
    </row>
    <row r="3615" spans="1:5" ht="15">
      <c r="A3615" s="223" t="s">
        <v>320</v>
      </c>
      <c r="B3615" s="223">
        <v>21</v>
      </c>
      <c r="C3615" s="223">
        <v>27</v>
      </c>
      <c r="D3615" s="223">
        <v>3</v>
      </c>
      <c r="E3615" s="223">
        <v>129436</v>
      </c>
    </row>
    <row r="3616" spans="1:5" ht="15">
      <c r="A3616" s="223" t="s">
        <v>320</v>
      </c>
      <c r="B3616" s="223">
        <v>21</v>
      </c>
      <c r="C3616" s="223">
        <v>27</v>
      </c>
      <c r="D3616" s="223">
        <v>4</v>
      </c>
      <c r="E3616" s="223">
        <v>121367</v>
      </c>
    </row>
    <row r="3617" spans="1:5" ht="15">
      <c r="A3617" s="223" t="s">
        <v>320</v>
      </c>
      <c r="B3617" s="223">
        <v>21</v>
      </c>
      <c r="C3617" s="223">
        <v>27</v>
      </c>
      <c r="D3617" s="223">
        <v>8</v>
      </c>
      <c r="E3617" s="223">
        <v>500</v>
      </c>
    </row>
    <row r="3618" spans="1:5" ht="15">
      <c r="A3618" s="223" t="s">
        <v>320</v>
      </c>
      <c r="B3618" s="223">
        <v>21</v>
      </c>
      <c r="C3618" s="223">
        <v>31</v>
      </c>
      <c r="D3618" s="223">
        <v>5</v>
      </c>
      <c r="E3618" s="223">
        <v>500</v>
      </c>
    </row>
    <row r="3619" spans="1:5" ht="15">
      <c r="A3619" s="223" t="s">
        <v>320</v>
      </c>
      <c r="B3619" s="223">
        <v>21</v>
      </c>
      <c r="C3619" s="223">
        <v>31</v>
      </c>
      <c r="D3619" s="223">
        <v>7</v>
      </c>
      <c r="E3619" s="223">
        <v>500</v>
      </c>
    </row>
    <row r="3620" spans="1:5" ht="15">
      <c r="A3620" s="223" t="s">
        <v>320</v>
      </c>
      <c r="B3620" s="223">
        <v>21</v>
      </c>
      <c r="C3620" s="223">
        <v>31</v>
      </c>
      <c r="D3620" s="223">
        <v>8</v>
      </c>
      <c r="E3620" s="223">
        <v>500</v>
      </c>
    </row>
    <row r="3621" spans="1:5" ht="15">
      <c r="A3621" s="223" t="s">
        <v>320</v>
      </c>
      <c r="B3621" s="223">
        <v>21</v>
      </c>
      <c r="C3621" s="223">
        <v>33</v>
      </c>
      <c r="D3621" s="223">
        <v>5</v>
      </c>
      <c r="E3621" s="223">
        <v>15500</v>
      </c>
    </row>
    <row r="3622" spans="1:5" ht="15">
      <c r="A3622" s="223" t="s">
        <v>320</v>
      </c>
      <c r="B3622" s="223">
        <v>24</v>
      </c>
      <c r="C3622" s="223">
        <v>26</v>
      </c>
      <c r="D3622" s="223">
        <v>2</v>
      </c>
      <c r="E3622" s="223">
        <v>19800</v>
      </c>
    </row>
    <row r="3623" spans="1:5" ht="15">
      <c r="A3623" s="223" t="s">
        <v>320</v>
      </c>
      <c r="B3623" s="223">
        <v>24</v>
      </c>
      <c r="C3623" s="223">
        <v>26</v>
      </c>
      <c r="D3623" s="223">
        <v>4</v>
      </c>
      <c r="E3623" s="223">
        <v>8716</v>
      </c>
    </row>
    <row r="3624" spans="1:5" ht="15">
      <c r="A3624" s="223" t="s">
        <v>320</v>
      </c>
      <c r="B3624" s="223">
        <v>24</v>
      </c>
      <c r="C3624" s="223">
        <v>26</v>
      </c>
      <c r="D3624" s="223">
        <v>7</v>
      </c>
      <c r="E3624" s="223">
        <v>27568</v>
      </c>
    </row>
    <row r="3625" spans="1:5" ht="15">
      <c r="A3625" s="223" t="s">
        <v>322</v>
      </c>
      <c r="B3625" s="223">
        <v>21</v>
      </c>
      <c r="C3625" s="223">
        <v>21</v>
      </c>
      <c r="D3625" s="223">
        <v>0</v>
      </c>
      <c r="E3625" s="223">
        <v>2000</v>
      </c>
    </row>
    <row r="3626" spans="1:5" ht="15">
      <c r="A3626" s="223" t="s">
        <v>322</v>
      </c>
      <c r="B3626" s="223">
        <v>21</v>
      </c>
      <c r="C3626" s="223">
        <v>21</v>
      </c>
      <c r="D3626" s="223">
        <v>2</v>
      </c>
      <c r="E3626" s="223">
        <v>1644396</v>
      </c>
    </row>
    <row r="3627" spans="1:5" ht="15">
      <c r="A3627" s="223" t="s">
        <v>322</v>
      </c>
      <c r="B3627" s="223">
        <v>21</v>
      </c>
      <c r="C3627" s="223">
        <v>21</v>
      </c>
      <c r="D3627" s="223">
        <v>3</v>
      </c>
      <c r="E3627" s="223">
        <v>597466</v>
      </c>
    </row>
    <row r="3628" spans="1:5" ht="15">
      <c r="A3628" s="223" t="s">
        <v>322</v>
      </c>
      <c r="B3628" s="223">
        <v>21</v>
      </c>
      <c r="C3628" s="223">
        <v>21</v>
      </c>
      <c r="D3628" s="223">
        <v>4</v>
      </c>
      <c r="E3628" s="223">
        <v>678824</v>
      </c>
    </row>
    <row r="3629" spans="1:5" ht="15">
      <c r="A3629" s="223" t="s">
        <v>322</v>
      </c>
      <c r="B3629" s="223">
        <v>21</v>
      </c>
      <c r="C3629" s="223">
        <v>21</v>
      </c>
      <c r="D3629" s="223">
        <v>5</v>
      </c>
      <c r="E3629" s="223">
        <v>8200</v>
      </c>
    </row>
    <row r="3630" spans="1:5" ht="15">
      <c r="A3630" s="223" t="s">
        <v>322</v>
      </c>
      <c r="B3630" s="223">
        <v>21</v>
      </c>
      <c r="C3630" s="223">
        <v>21</v>
      </c>
      <c r="D3630" s="223">
        <v>7</v>
      </c>
      <c r="E3630" s="223">
        <v>90444</v>
      </c>
    </row>
    <row r="3631" spans="1:5" ht="15">
      <c r="A3631" s="223" t="s">
        <v>322</v>
      </c>
      <c r="B3631" s="223">
        <v>21</v>
      </c>
      <c r="C3631" s="223">
        <v>21</v>
      </c>
      <c r="D3631" s="223">
        <v>8</v>
      </c>
      <c r="E3631" s="223">
        <v>49000</v>
      </c>
    </row>
    <row r="3632" spans="1:5" ht="15">
      <c r="A3632" s="223" t="s">
        <v>322</v>
      </c>
      <c r="B3632" s="223">
        <v>21</v>
      </c>
      <c r="C3632" s="223">
        <v>23</v>
      </c>
      <c r="D3632" s="223">
        <v>2</v>
      </c>
      <c r="E3632" s="223">
        <v>5500</v>
      </c>
    </row>
    <row r="3633" spans="1:5" ht="15">
      <c r="A3633" s="223" t="s">
        <v>322</v>
      </c>
      <c r="B3633" s="223">
        <v>21</v>
      </c>
      <c r="C3633" s="223">
        <v>23</v>
      </c>
      <c r="D3633" s="223">
        <v>4</v>
      </c>
      <c r="E3633" s="223">
        <v>1284</v>
      </c>
    </row>
    <row r="3634" spans="1:5" ht="15">
      <c r="A3634" s="223" t="s">
        <v>322</v>
      </c>
      <c r="B3634" s="223">
        <v>21</v>
      </c>
      <c r="C3634" s="223">
        <v>24</v>
      </c>
      <c r="D3634" s="223">
        <v>7</v>
      </c>
      <c r="E3634" s="223">
        <v>10000</v>
      </c>
    </row>
    <row r="3635" spans="1:5" ht="15">
      <c r="A3635" s="223" t="s">
        <v>322</v>
      </c>
      <c r="B3635" s="223">
        <v>21</v>
      </c>
      <c r="C3635" s="223">
        <v>26</v>
      </c>
      <c r="D3635" s="223">
        <v>2</v>
      </c>
      <c r="E3635" s="223">
        <v>9362490</v>
      </c>
    </row>
    <row r="3636" spans="1:5" ht="15">
      <c r="A3636" s="223" t="s">
        <v>322</v>
      </c>
      <c r="B3636" s="223">
        <v>21</v>
      </c>
      <c r="C3636" s="223">
        <v>26</v>
      </c>
      <c r="D3636" s="223">
        <v>3</v>
      </c>
      <c r="E3636" s="223">
        <v>884412</v>
      </c>
    </row>
    <row r="3637" spans="1:5" ht="15">
      <c r="A3637" s="223" t="s">
        <v>322</v>
      </c>
      <c r="B3637" s="223">
        <v>21</v>
      </c>
      <c r="C3637" s="223">
        <v>26</v>
      </c>
      <c r="D3637" s="223">
        <v>4</v>
      </c>
      <c r="E3637" s="223">
        <v>3634442</v>
      </c>
    </row>
    <row r="3638" spans="1:5" ht="15">
      <c r="A3638" s="223" t="s">
        <v>322</v>
      </c>
      <c r="B3638" s="223">
        <v>21</v>
      </c>
      <c r="C3638" s="223">
        <v>26</v>
      </c>
      <c r="D3638" s="223">
        <v>5</v>
      </c>
      <c r="E3638" s="223">
        <v>106419</v>
      </c>
    </row>
    <row r="3639" spans="1:5" ht="15">
      <c r="A3639" s="223" t="s">
        <v>322</v>
      </c>
      <c r="B3639" s="223">
        <v>21</v>
      </c>
      <c r="C3639" s="223">
        <v>26</v>
      </c>
      <c r="D3639" s="223">
        <v>7</v>
      </c>
      <c r="E3639" s="223">
        <v>562442</v>
      </c>
    </row>
    <row r="3640" spans="1:5" ht="15">
      <c r="A3640" s="223" t="s">
        <v>322</v>
      </c>
      <c r="B3640" s="223">
        <v>21</v>
      </c>
      <c r="C3640" s="223">
        <v>26</v>
      </c>
      <c r="D3640" s="223">
        <v>8</v>
      </c>
      <c r="E3640" s="223">
        <v>10000</v>
      </c>
    </row>
    <row r="3641" spans="1:5" ht="15">
      <c r="A3641" s="223" t="s">
        <v>322</v>
      </c>
      <c r="B3641" s="223">
        <v>21</v>
      </c>
      <c r="C3641" s="223">
        <v>27</v>
      </c>
      <c r="D3641" s="223">
        <v>0</v>
      </c>
      <c r="E3641" s="223">
        <v>35000</v>
      </c>
    </row>
    <row r="3642" spans="1:5" ht="15">
      <c r="A3642" s="223" t="s">
        <v>322</v>
      </c>
      <c r="B3642" s="223">
        <v>21</v>
      </c>
      <c r="C3642" s="223">
        <v>27</v>
      </c>
      <c r="D3642" s="223">
        <v>2</v>
      </c>
      <c r="E3642" s="223">
        <v>15259478</v>
      </c>
    </row>
    <row r="3643" spans="1:5" ht="15">
      <c r="A3643" s="223" t="s">
        <v>322</v>
      </c>
      <c r="B3643" s="223">
        <v>21</v>
      </c>
      <c r="C3643" s="223">
        <v>27</v>
      </c>
      <c r="D3643" s="223">
        <v>3</v>
      </c>
      <c r="E3643" s="223">
        <v>15527405</v>
      </c>
    </row>
    <row r="3644" spans="1:5" ht="15">
      <c r="A3644" s="223" t="s">
        <v>322</v>
      </c>
      <c r="B3644" s="223">
        <v>21</v>
      </c>
      <c r="C3644" s="223">
        <v>27</v>
      </c>
      <c r="D3644" s="223">
        <v>4</v>
      </c>
      <c r="E3644" s="223">
        <v>12903062</v>
      </c>
    </row>
    <row r="3645" spans="1:5" ht="15">
      <c r="A3645" s="223" t="s">
        <v>322</v>
      </c>
      <c r="B3645" s="223">
        <v>21</v>
      </c>
      <c r="C3645" s="223">
        <v>27</v>
      </c>
      <c r="D3645" s="223">
        <v>5</v>
      </c>
      <c r="E3645" s="223">
        <v>62643</v>
      </c>
    </row>
    <row r="3646" spans="1:5" ht="15">
      <c r="A3646" s="223" t="s">
        <v>322</v>
      </c>
      <c r="B3646" s="223">
        <v>21</v>
      </c>
      <c r="C3646" s="223">
        <v>27</v>
      </c>
      <c r="D3646" s="223">
        <v>7</v>
      </c>
      <c r="E3646" s="223">
        <v>4006675</v>
      </c>
    </row>
    <row r="3647" spans="1:5" ht="15">
      <c r="A3647" s="223" t="s">
        <v>322</v>
      </c>
      <c r="B3647" s="223">
        <v>21</v>
      </c>
      <c r="C3647" s="223">
        <v>27</v>
      </c>
      <c r="D3647" s="223">
        <v>8</v>
      </c>
      <c r="E3647" s="223">
        <v>2000</v>
      </c>
    </row>
    <row r="3648" spans="1:5" ht="15">
      <c r="A3648" s="223" t="s">
        <v>322</v>
      </c>
      <c r="B3648" s="223">
        <v>21</v>
      </c>
      <c r="C3648" s="223">
        <v>29</v>
      </c>
      <c r="D3648" s="223">
        <v>7</v>
      </c>
      <c r="E3648" s="223">
        <v>240000</v>
      </c>
    </row>
    <row r="3649" spans="1:5" ht="15">
      <c r="A3649" s="223" t="s">
        <v>322</v>
      </c>
      <c r="B3649" s="223">
        <v>21</v>
      </c>
      <c r="C3649" s="223">
        <v>31</v>
      </c>
      <c r="D3649" s="223">
        <v>2</v>
      </c>
      <c r="E3649" s="223">
        <v>148003</v>
      </c>
    </row>
    <row r="3650" spans="1:5" ht="15">
      <c r="A3650" s="223" t="s">
        <v>322</v>
      </c>
      <c r="B3650" s="223">
        <v>21</v>
      </c>
      <c r="C3650" s="223">
        <v>31</v>
      </c>
      <c r="D3650" s="223">
        <v>3</v>
      </c>
      <c r="E3650" s="223">
        <v>32520</v>
      </c>
    </row>
    <row r="3651" spans="1:5" ht="15">
      <c r="A3651" s="223" t="s">
        <v>322</v>
      </c>
      <c r="B3651" s="223">
        <v>21</v>
      </c>
      <c r="C3651" s="223">
        <v>31</v>
      </c>
      <c r="D3651" s="223">
        <v>4</v>
      </c>
      <c r="E3651" s="223">
        <v>38297</v>
      </c>
    </row>
    <row r="3652" spans="1:5" ht="15">
      <c r="A3652" s="223" t="s">
        <v>322</v>
      </c>
      <c r="B3652" s="223">
        <v>21</v>
      </c>
      <c r="C3652" s="223">
        <v>31</v>
      </c>
      <c r="D3652" s="223">
        <v>5</v>
      </c>
      <c r="E3652" s="223">
        <v>5000</v>
      </c>
    </row>
    <row r="3653" spans="1:5" ht="15">
      <c r="A3653" s="223" t="s">
        <v>322</v>
      </c>
      <c r="B3653" s="223">
        <v>21</v>
      </c>
      <c r="C3653" s="223">
        <v>31</v>
      </c>
      <c r="D3653" s="223">
        <v>7</v>
      </c>
      <c r="E3653" s="223">
        <v>2000</v>
      </c>
    </row>
    <row r="3654" spans="1:5" ht="15">
      <c r="A3654" s="223" t="s">
        <v>322</v>
      </c>
      <c r="B3654" s="223">
        <v>21</v>
      </c>
      <c r="C3654" s="223">
        <v>33</v>
      </c>
      <c r="D3654" s="223">
        <v>5</v>
      </c>
      <c r="E3654" s="223">
        <v>36813</v>
      </c>
    </row>
    <row r="3655" spans="1:5" ht="15">
      <c r="A3655" s="223" t="s">
        <v>322</v>
      </c>
      <c r="B3655" s="223">
        <v>21</v>
      </c>
      <c r="C3655" s="223">
        <v>33</v>
      </c>
      <c r="D3655" s="223">
        <v>7</v>
      </c>
      <c r="E3655" s="223">
        <v>22134</v>
      </c>
    </row>
    <row r="3656" spans="1:5" ht="15">
      <c r="A3656" s="223" t="s">
        <v>322</v>
      </c>
      <c r="B3656" s="223">
        <v>21</v>
      </c>
      <c r="C3656" s="223">
        <v>34</v>
      </c>
      <c r="D3656" s="223">
        <v>2</v>
      </c>
      <c r="E3656" s="223">
        <v>366211</v>
      </c>
    </row>
    <row r="3657" spans="1:5" ht="15">
      <c r="A3657" s="223" t="s">
        <v>322</v>
      </c>
      <c r="B3657" s="223">
        <v>21</v>
      </c>
      <c r="C3657" s="223">
        <v>34</v>
      </c>
      <c r="D3657" s="223">
        <v>4</v>
      </c>
      <c r="E3657" s="223">
        <v>85025</v>
      </c>
    </row>
    <row r="3658" spans="1:5" ht="15">
      <c r="A3658" s="223" t="s">
        <v>322</v>
      </c>
      <c r="B3658" s="223">
        <v>23</v>
      </c>
      <c r="C3658" s="223">
        <v>27</v>
      </c>
      <c r="D3658" s="223">
        <v>2</v>
      </c>
      <c r="E3658" s="223">
        <v>196286</v>
      </c>
    </row>
    <row r="3659" spans="1:5" ht="15">
      <c r="A3659" s="223" t="s">
        <v>322</v>
      </c>
      <c r="B3659" s="223">
        <v>23</v>
      </c>
      <c r="C3659" s="223">
        <v>27</v>
      </c>
      <c r="D3659" s="223">
        <v>3</v>
      </c>
      <c r="E3659" s="223">
        <v>280968</v>
      </c>
    </row>
    <row r="3660" spans="1:5" ht="15">
      <c r="A3660" s="223" t="s">
        <v>322</v>
      </c>
      <c r="B3660" s="223">
        <v>23</v>
      </c>
      <c r="C3660" s="223">
        <v>27</v>
      </c>
      <c r="D3660" s="223">
        <v>4</v>
      </c>
      <c r="E3660" s="223">
        <v>102820</v>
      </c>
    </row>
    <row r="3661" spans="1:5" ht="15">
      <c r="A3661" s="223" t="s">
        <v>322</v>
      </c>
      <c r="B3661" s="223">
        <v>23</v>
      </c>
      <c r="C3661" s="223">
        <v>27</v>
      </c>
      <c r="D3661" s="223">
        <v>7</v>
      </c>
      <c r="E3661" s="223">
        <v>82601</v>
      </c>
    </row>
    <row r="3662" spans="1:5" ht="15">
      <c r="A3662" s="223" t="s">
        <v>322</v>
      </c>
      <c r="B3662" s="223">
        <v>24</v>
      </c>
      <c r="C3662" s="223">
        <v>21</v>
      </c>
      <c r="D3662" s="223">
        <v>5</v>
      </c>
      <c r="E3662" s="223">
        <v>35493</v>
      </c>
    </row>
    <row r="3663" spans="1:5" ht="15">
      <c r="A3663" s="223" t="s">
        <v>322</v>
      </c>
      <c r="B3663" s="223">
        <v>24</v>
      </c>
      <c r="C3663" s="223">
        <v>26</v>
      </c>
      <c r="D3663" s="223">
        <v>2</v>
      </c>
      <c r="E3663" s="223">
        <v>773029</v>
      </c>
    </row>
    <row r="3664" spans="1:5" ht="15">
      <c r="A3664" s="223" t="s">
        <v>322</v>
      </c>
      <c r="B3664" s="223">
        <v>24</v>
      </c>
      <c r="C3664" s="223">
        <v>26</v>
      </c>
      <c r="D3664" s="223">
        <v>3</v>
      </c>
      <c r="E3664" s="223">
        <v>145553</v>
      </c>
    </row>
    <row r="3665" spans="1:5" ht="15">
      <c r="A3665" s="223" t="s">
        <v>322</v>
      </c>
      <c r="B3665" s="223">
        <v>24</v>
      </c>
      <c r="C3665" s="223">
        <v>26</v>
      </c>
      <c r="D3665" s="223">
        <v>4</v>
      </c>
      <c r="E3665" s="223">
        <v>320969</v>
      </c>
    </row>
    <row r="3666" spans="1:5" ht="15">
      <c r="A3666" s="223" t="s">
        <v>322</v>
      </c>
      <c r="B3666" s="223">
        <v>24</v>
      </c>
      <c r="C3666" s="223">
        <v>27</v>
      </c>
      <c r="D3666" s="223">
        <v>2</v>
      </c>
      <c r="E3666" s="223">
        <v>867678</v>
      </c>
    </row>
    <row r="3667" spans="1:5" ht="15">
      <c r="A3667" s="223" t="s">
        <v>322</v>
      </c>
      <c r="B3667" s="223">
        <v>24</v>
      </c>
      <c r="C3667" s="223">
        <v>27</v>
      </c>
      <c r="D3667" s="223">
        <v>3</v>
      </c>
      <c r="E3667" s="223">
        <v>1020082</v>
      </c>
    </row>
    <row r="3668" spans="1:5" ht="15">
      <c r="A3668" s="223" t="s">
        <v>322</v>
      </c>
      <c r="B3668" s="223">
        <v>24</v>
      </c>
      <c r="C3668" s="223">
        <v>27</v>
      </c>
      <c r="D3668" s="223">
        <v>4</v>
      </c>
      <c r="E3668" s="223">
        <v>768012</v>
      </c>
    </row>
    <row r="3669" spans="1:5" ht="15">
      <c r="A3669" s="223" t="s">
        <v>322</v>
      </c>
      <c r="B3669" s="223">
        <v>24</v>
      </c>
      <c r="C3669" s="223">
        <v>27</v>
      </c>
      <c r="D3669" s="223">
        <v>7</v>
      </c>
      <c r="E3669" s="223">
        <v>800000</v>
      </c>
    </row>
    <row r="3670" spans="1:5" ht="15">
      <c r="A3670" s="223" t="s">
        <v>322</v>
      </c>
      <c r="B3670" s="223">
        <v>24</v>
      </c>
      <c r="C3670" s="223">
        <v>29</v>
      </c>
      <c r="D3670" s="223">
        <v>7</v>
      </c>
      <c r="E3670" s="223">
        <v>200000</v>
      </c>
    </row>
    <row r="3671" spans="1:5" ht="15">
      <c r="A3671" s="223" t="s">
        <v>322</v>
      </c>
      <c r="B3671" s="223">
        <v>24</v>
      </c>
      <c r="C3671" s="223">
        <v>31</v>
      </c>
      <c r="D3671" s="223">
        <v>2</v>
      </c>
      <c r="E3671" s="223">
        <v>24187</v>
      </c>
    </row>
    <row r="3672" spans="1:5" ht="15">
      <c r="A3672" s="223" t="s">
        <v>322</v>
      </c>
      <c r="B3672" s="223">
        <v>24</v>
      </c>
      <c r="C3672" s="223">
        <v>31</v>
      </c>
      <c r="D3672" s="223">
        <v>4</v>
      </c>
      <c r="E3672" s="223">
        <v>5537</v>
      </c>
    </row>
    <row r="3673" spans="1:5" ht="15">
      <c r="A3673" s="223" t="s">
        <v>324</v>
      </c>
      <c r="B3673" s="223">
        <v>21</v>
      </c>
      <c r="C3673" s="223">
        <v>21</v>
      </c>
      <c r="D3673" s="223">
        <v>2</v>
      </c>
      <c r="E3673" s="223">
        <v>386947</v>
      </c>
    </row>
    <row r="3674" spans="1:5" ht="15">
      <c r="A3674" s="223" t="s">
        <v>324</v>
      </c>
      <c r="B3674" s="223">
        <v>21</v>
      </c>
      <c r="C3674" s="223">
        <v>21</v>
      </c>
      <c r="D3674" s="223">
        <v>3</v>
      </c>
      <c r="E3674" s="223">
        <v>137456</v>
      </c>
    </row>
    <row r="3675" spans="1:5" ht="15">
      <c r="A3675" s="223" t="s">
        <v>324</v>
      </c>
      <c r="B3675" s="223">
        <v>21</v>
      </c>
      <c r="C3675" s="223">
        <v>21</v>
      </c>
      <c r="D3675" s="223">
        <v>4</v>
      </c>
      <c r="E3675" s="223">
        <v>171143</v>
      </c>
    </row>
    <row r="3676" spans="1:5" ht="15">
      <c r="A3676" s="223" t="s">
        <v>324</v>
      </c>
      <c r="B3676" s="223">
        <v>21</v>
      </c>
      <c r="C3676" s="223">
        <v>26</v>
      </c>
      <c r="D3676" s="223">
        <v>2</v>
      </c>
      <c r="E3676" s="223">
        <v>2167398</v>
      </c>
    </row>
    <row r="3677" spans="1:5" ht="15">
      <c r="A3677" s="223" t="s">
        <v>324</v>
      </c>
      <c r="B3677" s="223">
        <v>21</v>
      </c>
      <c r="C3677" s="223">
        <v>26</v>
      </c>
      <c r="D3677" s="223">
        <v>3</v>
      </c>
      <c r="E3677" s="223">
        <v>86914</v>
      </c>
    </row>
    <row r="3678" spans="1:5" ht="15">
      <c r="A3678" s="223" t="s">
        <v>324</v>
      </c>
      <c r="B3678" s="223">
        <v>21</v>
      </c>
      <c r="C3678" s="223">
        <v>26</v>
      </c>
      <c r="D3678" s="223">
        <v>4</v>
      </c>
      <c r="E3678" s="223">
        <v>816430</v>
      </c>
    </row>
    <row r="3679" spans="1:5" ht="15">
      <c r="A3679" s="223" t="s">
        <v>324</v>
      </c>
      <c r="B3679" s="223">
        <v>21</v>
      </c>
      <c r="C3679" s="223">
        <v>27</v>
      </c>
      <c r="D3679" s="223">
        <v>2</v>
      </c>
      <c r="E3679" s="223">
        <v>5802066</v>
      </c>
    </row>
    <row r="3680" spans="1:5" ht="15">
      <c r="A3680" s="223" t="s">
        <v>324</v>
      </c>
      <c r="B3680" s="223">
        <v>21</v>
      </c>
      <c r="C3680" s="223">
        <v>27</v>
      </c>
      <c r="D3680" s="223">
        <v>3</v>
      </c>
      <c r="E3680" s="223">
        <v>3550536</v>
      </c>
    </row>
    <row r="3681" spans="1:5" ht="15">
      <c r="A3681" s="223" t="s">
        <v>324</v>
      </c>
      <c r="B3681" s="223">
        <v>21</v>
      </c>
      <c r="C3681" s="223">
        <v>27</v>
      </c>
      <c r="D3681" s="223">
        <v>4</v>
      </c>
      <c r="E3681" s="223">
        <v>4214695</v>
      </c>
    </row>
    <row r="3682" spans="1:5" ht="15">
      <c r="A3682" s="223" t="s">
        <v>324</v>
      </c>
      <c r="B3682" s="223">
        <v>21</v>
      </c>
      <c r="C3682" s="223">
        <v>31</v>
      </c>
      <c r="D3682" s="223">
        <v>2</v>
      </c>
      <c r="E3682" s="223">
        <v>459250</v>
      </c>
    </row>
    <row r="3683" spans="1:5" ht="15">
      <c r="A3683" s="223" t="s">
        <v>324</v>
      </c>
      <c r="B3683" s="223">
        <v>21</v>
      </c>
      <c r="C3683" s="223">
        <v>31</v>
      </c>
      <c r="D3683" s="223">
        <v>3</v>
      </c>
      <c r="E3683" s="223">
        <v>100315</v>
      </c>
    </row>
    <row r="3684" spans="1:5" ht="15">
      <c r="A3684" s="223" t="s">
        <v>324</v>
      </c>
      <c r="B3684" s="223">
        <v>21</v>
      </c>
      <c r="C3684" s="223">
        <v>31</v>
      </c>
      <c r="D3684" s="223">
        <v>4</v>
      </c>
      <c r="E3684" s="223">
        <v>191545</v>
      </c>
    </row>
    <row r="3685" spans="1:5" ht="15">
      <c r="A3685" s="223" t="s">
        <v>324</v>
      </c>
      <c r="B3685" s="223">
        <v>21</v>
      </c>
      <c r="C3685" s="223">
        <v>34</v>
      </c>
      <c r="D3685" s="223">
        <v>2</v>
      </c>
      <c r="E3685" s="223">
        <v>133522</v>
      </c>
    </row>
    <row r="3686" spans="1:5" ht="15">
      <c r="A3686" s="223" t="s">
        <v>324</v>
      </c>
      <c r="B3686" s="223">
        <v>21</v>
      </c>
      <c r="C3686" s="223">
        <v>34</v>
      </c>
      <c r="D3686" s="223">
        <v>4</v>
      </c>
      <c r="E3686" s="223">
        <v>48689</v>
      </c>
    </row>
    <row r="3687" spans="1:5" ht="15">
      <c r="A3687" s="223" t="s">
        <v>324</v>
      </c>
      <c r="B3687" s="223">
        <v>23</v>
      </c>
      <c r="C3687" s="223">
        <v>27</v>
      </c>
      <c r="D3687" s="223">
        <v>3</v>
      </c>
      <c r="E3687" s="223">
        <v>247048</v>
      </c>
    </row>
    <row r="3688" spans="1:5" ht="15">
      <c r="A3688" s="223" t="s">
        <v>324</v>
      </c>
      <c r="B3688" s="223">
        <v>23</v>
      </c>
      <c r="C3688" s="223">
        <v>27</v>
      </c>
      <c r="D3688" s="223">
        <v>4</v>
      </c>
      <c r="E3688" s="223">
        <v>155274</v>
      </c>
    </row>
    <row r="3689" spans="1:5" ht="15">
      <c r="A3689" s="223" t="s">
        <v>324</v>
      </c>
      <c r="B3689" s="223">
        <v>24</v>
      </c>
      <c r="C3689" s="223">
        <v>27</v>
      </c>
      <c r="D3689" s="223">
        <v>3</v>
      </c>
      <c r="E3689" s="223">
        <v>705858</v>
      </c>
    </row>
    <row r="3690" spans="1:5" ht="15">
      <c r="A3690" s="223" t="s">
        <v>324</v>
      </c>
      <c r="B3690" s="223">
        <v>24</v>
      </c>
      <c r="C3690" s="223">
        <v>27</v>
      </c>
      <c r="D3690" s="223">
        <v>4</v>
      </c>
      <c r="E3690" s="223">
        <v>434721</v>
      </c>
    </row>
    <row r="3691" spans="1:5" ht="15">
      <c r="A3691" s="223" t="s">
        <v>324</v>
      </c>
      <c r="B3691" s="223">
        <v>29</v>
      </c>
      <c r="C3691" s="223">
        <v>26</v>
      </c>
      <c r="D3691" s="223">
        <v>7</v>
      </c>
      <c r="E3691" s="223">
        <v>271047</v>
      </c>
    </row>
    <row r="3692" spans="1:5" ht="15">
      <c r="A3692" s="223" t="s">
        <v>326</v>
      </c>
      <c r="B3692" s="223">
        <v>21</v>
      </c>
      <c r="C3692" s="223">
        <v>21</v>
      </c>
      <c r="D3692" s="223">
        <v>2</v>
      </c>
      <c r="E3692" s="223">
        <v>31233</v>
      </c>
    </row>
    <row r="3693" spans="1:5" ht="15">
      <c r="A3693" s="223" t="s">
        <v>326</v>
      </c>
      <c r="B3693" s="223">
        <v>21</v>
      </c>
      <c r="C3693" s="223">
        <v>21</v>
      </c>
      <c r="D3693" s="223">
        <v>4</v>
      </c>
      <c r="E3693" s="223">
        <v>8729</v>
      </c>
    </row>
    <row r="3694" spans="1:5" ht="15">
      <c r="A3694" s="223" t="s">
        <v>326</v>
      </c>
      <c r="B3694" s="223">
        <v>21</v>
      </c>
      <c r="C3694" s="223">
        <v>26</v>
      </c>
      <c r="D3694" s="223">
        <v>7</v>
      </c>
      <c r="E3694" s="223">
        <v>27005</v>
      </c>
    </row>
    <row r="3695" spans="1:5" ht="15">
      <c r="A3695" s="223" t="s">
        <v>326</v>
      </c>
      <c r="B3695" s="223">
        <v>21</v>
      </c>
      <c r="C3695" s="223">
        <v>27</v>
      </c>
      <c r="D3695" s="223">
        <v>2</v>
      </c>
      <c r="E3695" s="223">
        <v>46957</v>
      </c>
    </row>
    <row r="3696" spans="1:5" ht="15">
      <c r="A3696" s="223" t="s">
        <v>326</v>
      </c>
      <c r="B3696" s="223">
        <v>21</v>
      </c>
      <c r="C3696" s="223">
        <v>27</v>
      </c>
      <c r="D3696" s="223">
        <v>3</v>
      </c>
      <c r="E3696" s="223">
        <v>34687</v>
      </c>
    </row>
    <row r="3697" spans="1:5" ht="15">
      <c r="A3697" s="223" t="s">
        <v>326</v>
      </c>
      <c r="B3697" s="223">
        <v>21</v>
      </c>
      <c r="C3697" s="223">
        <v>27</v>
      </c>
      <c r="D3697" s="223">
        <v>4</v>
      </c>
      <c r="E3697" s="223">
        <v>42020</v>
      </c>
    </row>
    <row r="3698" spans="1:5" ht="15">
      <c r="A3698" s="223" t="s">
        <v>326</v>
      </c>
      <c r="B3698" s="223">
        <v>21</v>
      </c>
      <c r="C3698" s="223">
        <v>27</v>
      </c>
      <c r="D3698" s="223">
        <v>5</v>
      </c>
      <c r="E3698" s="223">
        <v>5036</v>
      </c>
    </row>
    <row r="3699" spans="1:5" ht="15">
      <c r="A3699" s="223" t="s">
        <v>326</v>
      </c>
      <c r="B3699" s="223">
        <v>24</v>
      </c>
      <c r="C3699" s="223">
        <v>26</v>
      </c>
      <c r="D3699" s="223">
        <v>7</v>
      </c>
      <c r="E3699" s="223">
        <v>28553</v>
      </c>
    </row>
    <row r="3700" spans="1:5" ht="15">
      <c r="A3700" s="223" t="s">
        <v>328</v>
      </c>
      <c r="B3700" s="223">
        <v>21</v>
      </c>
      <c r="C3700" s="223">
        <v>26</v>
      </c>
      <c r="D3700" s="223">
        <v>7</v>
      </c>
      <c r="E3700" s="223">
        <v>120040</v>
      </c>
    </row>
    <row r="3701" spans="1:5" ht="15">
      <c r="A3701" s="223" t="s">
        <v>328</v>
      </c>
      <c r="B3701" s="223">
        <v>21</v>
      </c>
      <c r="C3701" s="223">
        <v>27</v>
      </c>
      <c r="D3701" s="223">
        <v>2</v>
      </c>
      <c r="E3701" s="223">
        <v>186567</v>
      </c>
    </row>
    <row r="3702" spans="1:5" ht="15">
      <c r="A3702" s="223" t="s">
        <v>328</v>
      </c>
      <c r="B3702" s="223">
        <v>21</v>
      </c>
      <c r="C3702" s="223">
        <v>27</v>
      </c>
      <c r="D3702" s="223">
        <v>3</v>
      </c>
      <c r="E3702" s="223">
        <v>120254</v>
      </c>
    </row>
    <row r="3703" spans="1:5" ht="15">
      <c r="A3703" s="223" t="s">
        <v>328</v>
      </c>
      <c r="B3703" s="223">
        <v>21</v>
      </c>
      <c r="C3703" s="223">
        <v>27</v>
      </c>
      <c r="D3703" s="223">
        <v>4</v>
      </c>
      <c r="E3703" s="223">
        <v>111474</v>
      </c>
    </row>
    <row r="3704" spans="1:5" ht="15">
      <c r="A3704" s="223" t="s">
        <v>328</v>
      </c>
      <c r="B3704" s="223">
        <v>21</v>
      </c>
      <c r="C3704" s="223">
        <v>27</v>
      </c>
      <c r="D3704" s="223">
        <v>5</v>
      </c>
      <c r="E3704" s="223">
        <v>1000</v>
      </c>
    </row>
    <row r="3705" spans="1:5" ht="15">
      <c r="A3705" s="223" t="s">
        <v>328</v>
      </c>
      <c r="B3705" s="223">
        <v>21</v>
      </c>
      <c r="C3705" s="223">
        <v>27</v>
      </c>
      <c r="D3705" s="223">
        <v>7</v>
      </c>
      <c r="E3705" s="223">
        <v>60000</v>
      </c>
    </row>
    <row r="3706" spans="1:5" ht="15">
      <c r="A3706" s="223" t="s">
        <v>328</v>
      </c>
      <c r="B3706" s="223">
        <v>21</v>
      </c>
      <c r="C3706" s="223">
        <v>34</v>
      </c>
      <c r="D3706" s="223">
        <v>2</v>
      </c>
      <c r="E3706" s="223">
        <v>3092</v>
      </c>
    </row>
    <row r="3707" spans="1:5" ht="15">
      <c r="A3707" s="223" t="s">
        <v>328</v>
      </c>
      <c r="B3707" s="223">
        <v>21</v>
      </c>
      <c r="C3707" s="223">
        <v>34</v>
      </c>
      <c r="D3707" s="223">
        <v>4</v>
      </c>
      <c r="E3707" s="223">
        <v>726</v>
      </c>
    </row>
    <row r="3708" spans="1:5" ht="15">
      <c r="A3708" s="223" t="s">
        <v>328</v>
      </c>
      <c r="B3708" s="223">
        <v>24</v>
      </c>
      <c r="C3708" s="223">
        <v>26</v>
      </c>
      <c r="D3708" s="223">
        <v>7</v>
      </c>
      <c r="E3708" s="223">
        <v>53873</v>
      </c>
    </row>
    <row r="3709" spans="1:5" ht="15">
      <c r="A3709" s="223" t="s">
        <v>328</v>
      </c>
      <c r="B3709" s="223">
        <v>24</v>
      </c>
      <c r="C3709" s="223">
        <v>27</v>
      </c>
      <c r="D3709" s="223">
        <v>8</v>
      </c>
      <c r="E3709" s="223">
        <v>476</v>
      </c>
    </row>
    <row r="3710" spans="1:5" ht="15">
      <c r="A3710" s="223" t="s">
        <v>328</v>
      </c>
      <c r="B3710" s="223">
        <v>29</v>
      </c>
      <c r="C3710" s="223">
        <v>26</v>
      </c>
      <c r="D3710" s="223">
        <v>7</v>
      </c>
      <c r="E3710" s="223">
        <v>2500</v>
      </c>
    </row>
    <row r="3711" spans="1:5" ht="15">
      <c r="A3711" s="223" t="s">
        <v>328</v>
      </c>
      <c r="B3711" s="223">
        <v>29</v>
      </c>
      <c r="C3711" s="223">
        <v>27</v>
      </c>
      <c r="D3711" s="223">
        <v>5</v>
      </c>
      <c r="E3711" s="223">
        <v>9800</v>
      </c>
    </row>
    <row r="3712" spans="1:5" ht="15">
      <c r="A3712" s="223" t="s">
        <v>328</v>
      </c>
      <c r="B3712" s="223">
        <v>29</v>
      </c>
      <c r="C3712" s="223">
        <v>29</v>
      </c>
      <c r="D3712" s="223">
        <v>7</v>
      </c>
      <c r="E3712" s="223">
        <v>9200</v>
      </c>
    </row>
    <row r="3713" spans="1:5" ht="15">
      <c r="A3713" s="223" t="s">
        <v>330</v>
      </c>
      <c r="B3713" s="223">
        <v>21</v>
      </c>
      <c r="C3713" s="223">
        <v>29</v>
      </c>
      <c r="D3713" s="223">
        <v>7</v>
      </c>
      <c r="E3713" s="223">
        <v>1703247</v>
      </c>
    </row>
    <row r="3714" spans="1:5" ht="15">
      <c r="A3714" s="223" t="s">
        <v>104</v>
      </c>
      <c r="B3714" s="223">
        <v>21</v>
      </c>
      <c r="C3714" s="223">
        <v>21</v>
      </c>
      <c r="D3714" s="223">
        <v>2</v>
      </c>
      <c r="E3714" s="223">
        <v>51219</v>
      </c>
    </row>
    <row r="3715" spans="1:5" ht="15">
      <c r="A3715" s="223" t="s">
        <v>104</v>
      </c>
      <c r="B3715" s="223">
        <v>21</v>
      </c>
      <c r="C3715" s="223">
        <v>21</v>
      </c>
      <c r="D3715" s="223">
        <v>3</v>
      </c>
      <c r="E3715" s="223">
        <v>21220</v>
      </c>
    </row>
    <row r="3716" spans="1:5" ht="15">
      <c r="A3716" s="223" t="s">
        <v>104</v>
      </c>
      <c r="B3716" s="223">
        <v>21</v>
      </c>
      <c r="C3716" s="223">
        <v>21</v>
      </c>
      <c r="D3716" s="223">
        <v>4</v>
      </c>
      <c r="E3716" s="223">
        <v>29793</v>
      </c>
    </row>
    <row r="3717" spans="1:5" ht="15">
      <c r="A3717" s="223" t="s">
        <v>104</v>
      </c>
      <c r="B3717" s="223">
        <v>21</v>
      </c>
      <c r="C3717" s="223">
        <v>27</v>
      </c>
      <c r="D3717" s="223">
        <v>2</v>
      </c>
      <c r="E3717" s="223">
        <v>271829</v>
      </c>
    </row>
    <row r="3718" spans="1:5" ht="15">
      <c r="A3718" s="223" t="s">
        <v>104</v>
      </c>
      <c r="B3718" s="223">
        <v>21</v>
      </c>
      <c r="C3718" s="223">
        <v>27</v>
      </c>
      <c r="D3718" s="223">
        <v>3</v>
      </c>
      <c r="E3718" s="223">
        <v>216591</v>
      </c>
    </row>
    <row r="3719" spans="1:5" ht="15">
      <c r="A3719" s="223" t="s">
        <v>104</v>
      </c>
      <c r="B3719" s="223">
        <v>21</v>
      </c>
      <c r="C3719" s="223">
        <v>27</v>
      </c>
      <c r="D3719" s="223">
        <v>4</v>
      </c>
      <c r="E3719" s="223">
        <v>253784</v>
      </c>
    </row>
    <row r="3720" spans="1:5" ht="15">
      <c r="A3720" s="223" t="s">
        <v>104</v>
      </c>
      <c r="B3720" s="223">
        <v>24</v>
      </c>
      <c r="C3720" s="223">
        <v>26</v>
      </c>
      <c r="D3720" s="223">
        <v>7</v>
      </c>
      <c r="E3720" s="223">
        <v>150725</v>
      </c>
    </row>
    <row r="3721" spans="1:5" ht="15">
      <c r="A3721" s="223" t="s">
        <v>104</v>
      </c>
      <c r="B3721" s="223">
        <v>24</v>
      </c>
      <c r="C3721" s="223">
        <v>27</v>
      </c>
      <c r="D3721" s="223">
        <v>2</v>
      </c>
      <c r="E3721" s="223">
        <v>19204</v>
      </c>
    </row>
    <row r="3722" spans="1:5" ht="15">
      <c r="A3722" s="223" t="s">
        <v>104</v>
      </c>
      <c r="B3722" s="223">
        <v>24</v>
      </c>
      <c r="C3722" s="223">
        <v>27</v>
      </c>
      <c r="D3722" s="223">
        <v>4</v>
      </c>
      <c r="E3722" s="223">
        <v>6845</v>
      </c>
    </row>
    <row r="3723" spans="1:5" ht="15">
      <c r="A3723" s="223" t="s">
        <v>106</v>
      </c>
      <c r="B3723" s="223">
        <v>21</v>
      </c>
      <c r="C3723" s="223">
        <v>26</v>
      </c>
      <c r="D3723" s="223">
        <v>7</v>
      </c>
      <c r="E3723" s="223">
        <v>50000</v>
      </c>
    </row>
    <row r="3724" spans="1:5" ht="15">
      <c r="A3724" s="223" t="s">
        <v>106</v>
      </c>
      <c r="B3724" s="223">
        <v>21</v>
      </c>
      <c r="C3724" s="223">
        <v>27</v>
      </c>
      <c r="D3724" s="223">
        <v>2</v>
      </c>
      <c r="E3724" s="223">
        <v>63708</v>
      </c>
    </row>
    <row r="3725" spans="1:5" ht="15">
      <c r="A3725" s="223" t="s">
        <v>106</v>
      </c>
      <c r="B3725" s="223">
        <v>21</v>
      </c>
      <c r="C3725" s="223">
        <v>27</v>
      </c>
      <c r="D3725" s="223">
        <v>3</v>
      </c>
      <c r="E3725" s="223">
        <v>125716</v>
      </c>
    </row>
    <row r="3726" spans="1:5" ht="15">
      <c r="A3726" s="223" t="s">
        <v>106</v>
      </c>
      <c r="B3726" s="223">
        <v>21</v>
      </c>
      <c r="C3726" s="223">
        <v>27</v>
      </c>
      <c r="D3726" s="223">
        <v>4</v>
      </c>
      <c r="E3726" s="223">
        <v>130882</v>
      </c>
    </row>
    <row r="3727" spans="1:5" ht="15">
      <c r="A3727" s="223" t="s">
        <v>106</v>
      </c>
      <c r="B3727" s="223">
        <v>21</v>
      </c>
      <c r="C3727" s="223">
        <v>27</v>
      </c>
      <c r="D3727" s="223">
        <v>5</v>
      </c>
      <c r="E3727" s="223">
        <v>700</v>
      </c>
    </row>
    <row r="3728" spans="1:5" ht="15">
      <c r="A3728" s="223" t="s">
        <v>106</v>
      </c>
      <c r="B3728" s="223">
        <v>21</v>
      </c>
      <c r="C3728" s="223">
        <v>33</v>
      </c>
      <c r="D3728" s="223">
        <v>5</v>
      </c>
      <c r="E3728" s="223">
        <v>2500</v>
      </c>
    </row>
    <row r="3729" spans="1:5" ht="15">
      <c r="A3729" s="223" t="s">
        <v>106</v>
      </c>
      <c r="B3729" s="223">
        <v>21</v>
      </c>
      <c r="C3729" s="223">
        <v>33</v>
      </c>
      <c r="D3729" s="223">
        <v>8</v>
      </c>
      <c r="E3729" s="223">
        <v>1000</v>
      </c>
    </row>
    <row r="3730" spans="1:5" ht="15">
      <c r="A3730" s="223" t="s">
        <v>106</v>
      </c>
      <c r="B3730" s="223">
        <v>21</v>
      </c>
      <c r="C3730" s="223">
        <v>34</v>
      </c>
      <c r="D3730" s="223">
        <v>2</v>
      </c>
      <c r="E3730" s="223">
        <v>1034</v>
      </c>
    </row>
    <row r="3731" spans="1:5" ht="15">
      <c r="A3731" s="223" t="s">
        <v>106</v>
      </c>
      <c r="B3731" s="223">
        <v>21</v>
      </c>
      <c r="C3731" s="223">
        <v>34</v>
      </c>
      <c r="D3731" s="223">
        <v>4</v>
      </c>
      <c r="E3731" s="223">
        <v>441</v>
      </c>
    </row>
    <row r="3732" spans="1:5" ht="15">
      <c r="A3732" s="223" t="s">
        <v>106</v>
      </c>
      <c r="B3732" s="223">
        <v>24</v>
      </c>
      <c r="C3732" s="223">
        <v>26</v>
      </c>
      <c r="D3732" s="223">
        <v>7</v>
      </c>
      <c r="E3732" s="223">
        <v>54027</v>
      </c>
    </row>
    <row r="3733" spans="1:5" ht="15">
      <c r="A3733" s="223" t="s">
        <v>108</v>
      </c>
      <c r="B3733" s="223">
        <v>21</v>
      </c>
      <c r="C3733" s="223">
        <v>21</v>
      </c>
      <c r="D3733" s="223">
        <v>2</v>
      </c>
      <c r="E3733" s="223">
        <v>135549</v>
      </c>
    </row>
    <row r="3734" spans="1:5" ht="15">
      <c r="A3734" s="223" t="s">
        <v>108</v>
      </c>
      <c r="B3734" s="223">
        <v>21</v>
      </c>
      <c r="C3734" s="223">
        <v>21</v>
      </c>
      <c r="D3734" s="223">
        <v>3</v>
      </c>
      <c r="E3734" s="223">
        <v>29118</v>
      </c>
    </row>
    <row r="3735" spans="1:5" ht="15">
      <c r="A3735" s="223" t="s">
        <v>108</v>
      </c>
      <c r="B3735" s="223">
        <v>21</v>
      </c>
      <c r="C3735" s="223">
        <v>21</v>
      </c>
      <c r="D3735" s="223">
        <v>4</v>
      </c>
      <c r="E3735" s="223">
        <v>61842</v>
      </c>
    </row>
    <row r="3736" spans="1:5" ht="15">
      <c r="A3736" s="223" t="s">
        <v>108</v>
      </c>
      <c r="B3736" s="223">
        <v>21</v>
      </c>
      <c r="C3736" s="223">
        <v>21</v>
      </c>
      <c r="D3736" s="223">
        <v>5</v>
      </c>
      <c r="E3736" s="223">
        <v>1000</v>
      </c>
    </row>
    <row r="3737" spans="1:5" ht="15">
      <c r="A3737" s="223" t="s">
        <v>108</v>
      </c>
      <c r="B3737" s="223">
        <v>21</v>
      </c>
      <c r="C3737" s="223">
        <v>26</v>
      </c>
      <c r="D3737" s="223">
        <v>2</v>
      </c>
      <c r="E3737" s="223">
        <v>104840</v>
      </c>
    </row>
    <row r="3738" spans="1:5" ht="15">
      <c r="A3738" s="223" t="s">
        <v>108</v>
      </c>
      <c r="B3738" s="223">
        <v>21</v>
      </c>
      <c r="C3738" s="223">
        <v>26</v>
      </c>
      <c r="D3738" s="223">
        <v>4</v>
      </c>
      <c r="E3738" s="223">
        <v>36404</v>
      </c>
    </row>
    <row r="3739" spans="1:5" ht="15">
      <c r="A3739" s="223" t="s">
        <v>108</v>
      </c>
      <c r="B3739" s="223">
        <v>21</v>
      </c>
      <c r="C3739" s="223">
        <v>26</v>
      </c>
      <c r="D3739" s="223">
        <v>5</v>
      </c>
      <c r="E3739" s="223">
        <v>1000</v>
      </c>
    </row>
    <row r="3740" spans="1:5" ht="15">
      <c r="A3740" s="223" t="s">
        <v>108</v>
      </c>
      <c r="B3740" s="223">
        <v>21</v>
      </c>
      <c r="C3740" s="223">
        <v>26</v>
      </c>
      <c r="D3740" s="223">
        <v>7</v>
      </c>
      <c r="E3740" s="223">
        <v>1000</v>
      </c>
    </row>
    <row r="3741" spans="1:5" ht="15">
      <c r="A3741" s="223" t="s">
        <v>108</v>
      </c>
      <c r="B3741" s="223">
        <v>21</v>
      </c>
      <c r="C3741" s="223">
        <v>26</v>
      </c>
      <c r="D3741" s="223">
        <v>8</v>
      </c>
      <c r="E3741" s="223">
        <v>500</v>
      </c>
    </row>
    <row r="3742" spans="1:5" ht="15">
      <c r="A3742" s="223" t="s">
        <v>108</v>
      </c>
      <c r="B3742" s="223">
        <v>21</v>
      </c>
      <c r="C3742" s="223">
        <v>27</v>
      </c>
      <c r="D3742" s="223">
        <v>2</v>
      </c>
      <c r="E3742" s="223">
        <v>420540</v>
      </c>
    </row>
    <row r="3743" spans="1:5" ht="15">
      <c r="A3743" s="223" t="s">
        <v>108</v>
      </c>
      <c r="B3743" s="223">
        <v>21</v>
      </c>
      <c r="C3743" s="223">
        <v>27</v>
      </c>
      <c r="D3743" s="223">
        <v>3</v>
      </c>
      <c r="E3743" s="223">
        <v>428162</v>
      </c>
    </row>
    <row r="3744" spans="1:5" ht="15">
      <c r="A3744" s="223" t="s">
        <v>108</v>
      </c>
      <c r="B3744" s="223">
        <v>21</v>
      </c>
      <c r="C3744" s="223">
        <v>27</v>
      </c>
      <c r="D3744" s="223">
        <v>4</v>
      </c>
      <c r="E3744" s="223">
        <v>422008</v>
      </c>
    </row>
    <row r="3745" spans="1:5" ht="15">
      <c r="A3745" s="223" t="s">
        <v>108</v>
      </c>
      <c r="B3745" s="223">
        <v>21</v>
      </c>
      <c r="C3745" s="223">
        <v>27</v>
      </c>
      <c r="D3745" s="223">
        <v>5</v>
      </c>
      <c r="E3745" s="223">
        <v>8745</v>
      </c>
    </row>
    <row r="3746" spans="1:5" ht="15">
      <c r="A3746" s="223" t="s">
        <v>108</v>
      </c>
      <c r="B3746" s="223">
        <v>21</v>
      </c>
      <c r="C3746" s="223">
        <v>27</v>
      </c>
      <c r="D3746" s="223">
        <v>7</v>
      </c>
      <c r="E3746" s="223">
        <v>170250</v>
      </c>
    </row>
    <row r="3747" spans="1:5" ht="15">
      <c r="A3747" s="223" t="s">
        <v>108</v>
      </c>
      <c r="B3747" s="223">
        <v>21</v>
      </c>
      <c r="C3747" s="223">
        <v>27</v>
      </c>
      <c r="D3747" s="223">
        <v>8</v>
      </c>
      <c r="E3747" s="223">
        <v>1500</v>
      </c>
    </row>
    <row r="3748" spans="1:5" ht="15">
      <c r="A3748" s="223" t="s">
        <v>108</v>
      </c>
      <c r="B3748" s="223">
        <v>21</v>
      </c>
      <c r="C3748" s="223">
        <v>31</v>
      </c>
      <c r="D3748" s="223">
        <v>5</v>
      </c>
      <c r="E3748" s="223">
        <v>200</v>
      </c>
    </row>
    <row r="3749" spans="1:5" ht="15">
      <c r="A3749" s="223" t="s">
        <v>108</v>
      </c>
      <c r="B3749" s="223">
        <v>21</v>
      </c>
      <c r="C3749" s="223">
        <v>31</v>
      </c>
      <c r="D3749" s="223">
        <v>7</v>
      </c>
      <c r="E3749" s="223">
        <v>5500</v>
      </c>
    </row>
    <row r="3750" spans="1:5" ht="15">
      <c r="A3750" s="223" t="s">
        <v>108</v>
      </c>
      <c r="B3750" s="223">
        <v>21</v>
      </c>
      <c r="C3750" s="223">
        <v>31</v>
      </c>
      <c r="D3750" s="223">
        <v>8</v>
      </c>
      <c r="E3750" s="223">
        <v>500</v>
      </c>
    </row>
    <row r="3751" spans="1:5" ht="15">
      <c r="A3751" s="223" t="s">
        <v>108</v>
      </c>
      <c r="B3751" s="223">
        <v>21</v>
      </c>
      <c r="C3751" s="223">
        <v>32</v>
      </c>
      <c r="D3751" s="223">
        <v>5</v>
      </c>
      <c r="E3751" s="223">
        <v>7000</v>
      </c>
    </row>
    <row r="3752" spans="1:5" ht="15">
      <c r="A3752" s="223" t="s">
        <v>108</v>
      </c>
      <c r="B3752" s="223">
        <v>21</v>
      </c>
      <c r="C3752" s="223">
        <v>33</v>
      </c>
      <c r="D3752" s="223">
        <v>5</v>
      </c>
      <c r="E3752" s="223">
        <v>500</v>
      </c>
    </row>
    <row r="3753" spans="1:5" ht="15">
      <c r="A3753" s="223" t="s">
        <v>108</v>
      </c>
      <c r="B3753" s="223">
        <v>21</v>
      </c>
      <c r="C3753" s="223">
        <v>34</v>
      </c>
      <c r="D3753" s="223">
        <v>2</v>
      </c>
      <c r="E3753" s="223">
        <v>10095</v>
      </c>
    </row>
    <row r="3754" spans="1:5" ht="15">
      <c r="A3754" s="223" t="s">
        <v>108</v>
      </c>
      <c r="B3754" s="223">
        <v>21</v>
      </c>
      <c r="C3754" s="223">
        <v>34</v>
      </c>
      <c r="D3754" s="223">
        <v>4</v>
      </c>
      <c r="E3754" s="223">
        <v>2397</v>
      </c>
    </row>
    <row r="3755" spans="1:5" ht="15">
      <c r="A3755" s="223" t="s">
        <v>108</v>
      </c>
      <c r="B3755" s="223">
        <v>24</v>
      </c>
      <c r="C3755" s="223">
        <v>27</v>
      </c>
      <c r="D3755" s="223">
        <v>3</v>
      </c>
      <c r="E3755" s="223">
        <v>113823</v>
      </c>
    </row>
    <row r="3756" spans="1:5" ht="15">
      <c r="A3756" s="223" t="s">
        <v>108</v>
      </c>
      <c r="B3756" s="223">
        <v>24</v>
      </c>
      <c r="C3756" s="223">
        <v>27</v>
      </c>
      <c r="D3756" s="223">
        <v>4</v>
      </c>
      <c r="E3756" s="223">
        <v>62797</v>
      </c>
    </row>
    <row r="3757" spans="1:5" ht="15">
      <c r="A3757" s="223" t="s">
        <v>108</v>
      </c>
      <c r="B3757" s="223">
        <v>24</v>
      </c>
      <c r="C3757" s="223">
        <v>27</v>
      </c>
      <c r="D3757" s="223">
        <v>7</v>
      </c>
      <c r="E3757" s="223">
        <v>48480</v>
      </c>
    </row>
    <row r="3758" spans="1:5" ht="15">
      <c r="A3758" s="223" t="s">
        <v>110</v>
      </c>
      <c r="B3758" s="223">
        <v>21</v>
      </c>
      <c r="C3758" s="223">
        <v>21</v>
      </c>
      <c r="D3758" s="223">
        <v>2</v>
      </c>
      <c r="E3758" s="223">
        <v>451293</v>
      </c>
    </row>
    <row r="3759" spans="1:5" ht="15">
      <c r="A3759" s="223" t="s">
        <v>110</v>
      </c>
      <c r="B3759" s="223">
        <v>21</v>
      </c>
      <c r="C3759" s="223">
        <v>21</v>
      </c>
      <c r="D3759" s="223">
        <v>3</v>
      </c>
      <c r="E3759" s="223">
        <v>329487</v>
      </c>
    </row>
    <row r="3760" spans="1:5" ht="15">
      <c r="A3760" s="223" t="s">
        <v>110</v>
      </c>
      <c r="B3760" s="223">
        <v>21</v>
      </c>
      <c r="C3760" s="223">
        <v>21</v>
      </c>
      <c r="D3760" s="223">
        <v>4</v>
      </c>
      <c r="E3760" s="223">
        <v>268351</v>
      </c>
    </row>
    <row r="3761" spans="1:5" ht="15">
      <c r="A3761" s="223" t="s">
        <v>110</v>
      </c>
      <c r="B3761" s="223">
        <v>21</v>
      </c>
      <c r="C3761" s="223">
        <v>21</v>
      </c>
      <c r="D3761" s="223">
        <v>5</v>
      </c>
      <c r="E3761" s="223">
        <v>10000</v>
      </c>
    </row>
    <row r="3762" spans="1:5" ht="15">
      <c r="A3762" s="223" t="s">
        <v>110</v>
      </c>
      <c r="B3762" s="223">
        <v>21</v>
      </c>
      <c r="C3762" s="223">
        <v>21</v>
      </c>
      <c r="D3762" s="223">
        <v>7</v>
      </c>
      <c r="E3762" s="223">
        <v>43000</v>
      </c>
    </row>
    <row r="3763" spans="1:5" ht="15">
      <c r="A3763" s="223" t="s">
        <v>110</v>
      </c>
      <c r="B3763" s="223">
        <v>21</v>
      </c>
      <c r="C3763" s="223">
        <v>25</v>
      </c>
      <c r="D3763" s="223">
        <v>7</v>
      </c>
      <c r="E3763" s="223">
        <v>13550</v>
      </c>
    </row>
    <row r="3764" spans="1:5" ht="15">
      <c r="A3764" s="223" t="s">
        <v>110</v>
      </c>
      <c r="B3764" s="223">
        <v>21</v>
      </c>
      <c r="C3764" s="223">
        <v>26</v>
      </c>
      <c r="D3764" s="223">
        <v>2</v>
      </c>
      <c r="E3764" s="223">
        <v>3763356</v>
      </c>
    </row>
    <row r="3765" spans="1:5" ht="15">
      <c r="A3765" s="223" t="s">
        <v>110</v>
      </c>
      <c r="B3765" s="223">
        <v>21</v>
      </c>
      <c r="C3765" s="223">
        <v>26</v>
      </c>
      <c r="D3765" s="223">
        <v>3</v>
      </c>
      <c r="E3765" s="223">
        <v>162832</v>
      </c>
    </row>
    <row r="3766" spans="1:5" ht="15">
      <c r="A3766" s="223" t="s">
        <v>110</v>
      </c>
      <c r="B3766" s="223">
        <v>21</v>
      </c>
      <c r="C3766" s="223">
        <v>26</v>
      </c>
      <c r="D3766" s="223">
        <v>4</v>
      </c>
      <c r="E3766" s="223">
        <v>1560117</v>
      </c>
    </row>
    <row r="3767" spans="1:5" ht="15">
      <c r="A3767" s="223" t="s">
        <v>110</v>
      </c>
      <c r="B3767" s="223">
        <v>21</v>
      </c>
      <c r="C3767" s="223">
        <v>26</v>
      </c>
      <c r="D3767" s="223">
        <v>5</v>
      </c>
      <c r="E3767" s="223">
        <v>68000</v>
      </c>
    </row>
    <row r="3768" spans="1:5" ht="15">
      <c r="A3768" s="223" t="s">
        <v>110</v>
      </c>
      <c r="B3768" s="223">
        <v>21</v>
      </c>
      <c r="C3768" s="223">
        <v>26</v>
      </c>
      <c r="D3768" s="223">
        <v>7</v>
      </c>
      <c r="E3768" s="223">
        <v>449897</v>
      </c>
    </row>
    <row r="3769" spans="1:5" ht="15">
      <c r="A3769" s="223" t="s">
        <v>110</v>
      </c>
      <c r="B3769" s="223">
        <v>21</v>
      </c>
      <c r="C3769" s="223">
        <v>27</v>
      </c>
      <c r="D3769" s="223">
        <v>0</v>
      </c>
      <c r="E3769" s="223">
        <v>19000</v>
      </c>
    </row>
    <row r="3770" spans="1:5" ht="15">
      <c r="A3770" s="223" t="s">
        <v>110</v>
      </c>
      <c r="B3770" s="223">
        <v>21</v>
      </c>
      <c r="C3770" s="223">
        <v>27</v>
      </c>
      <c r="D3770" s="223">
        <v>2</v>
      </c>
      <c r="E3770" s="223">
        <v>5691663</v>
      </c>
    </row>
    <row r="3771" spans="1:5" ht="15">
      <c r="A3771" s="223" t="s">
        <v>110</v>
      </c>
      <c r="B3771" s="223">
        <v>21</v>
      </c>
      <c r="C3771" s="223">
        <v>27</v>
      </c>
      <c r="D3771" s="223">
        <v>3</v>
      </c>
      <c r="E3771" s="223">
        <v>6398932</v>
      </c>
    </row>
    <row r="3772" spans="1:5" ht="15">
      <c r="A3772" s="223" t="s">
        <v>110</v>
      </c>
      <c r="B3772" s="223">
        <v>21</v>
      </c>
      <c r="C3772" s="223">
        <v>27</v>
      </c>
      <c r="D3772" s="223">
        <v>4</v>
      </c>
      <c r="E3772" s="223">
        <v>6403263</v>
      </c>
    </row>
    <row r="3773" spans="1:5" ht="15">
      <c r="A3773" s="223" t="s">
        <v>110</v>
      </c>
      <c r="B3773" s="223">
        <v>21</v>
      </c>
      <c r="C3773" s="223">
        <v>27</v>
      </c>
      <c r="D3773" s="223">
        <v>5</v>
      </c>
      <c r="E3773" s="223">
        <v>112231</v>
      </c>
    </row>
    <row r="3774" spans="1:5" ht="15">
      <c r="A3774" s="223" t="s">
        <v>110</v>
      </c>
      <c r="B3774" s="223">
        <v>21</v>
      </c>
      <c r="C3774" s="223">
        <v>27</v>
      </c>
      <c r="D3774" s="223">
        <v>7</v>
      </c>
      <c r="E3774" s="223">
        <v>1203000</v>
      </c>
    </row>
    <row r="3775" spans="1:5" ht="15">
      <c r="A3775" s="223" t="s">
        <v>110</v>
      </c>
      <c r="B3775" s="223">
        <v>21</v>
      </c>
      <c r="C3775" s="223">
        <v>31</v>
      </c>
      <c r="D3775" s="223">
        <v>2</v>
      </c>
      <c r="E3775" s="223">
        <v>149650</v>
      </c>
    </row>
    <row r="3776" spans="1:5" ht="15">
      <c r="A3776" s="223" t="s">
        <v>110</v>
      </c>
      <c r="B3776" s="223">
        <v>21</v>
      </c>
      <c r="C3776" s="223">
        <v>31</v>
      </c>
      <c r="D3776" s="223">
        <v>4</v>
      </c>
      <c r="E3776" s="223">
        <v>22620</v>
      </c>
    </row>
    <row r="3777" spans="1:5" ht="15">
      <c r="A3777" s="223" t="s">
        <v>110</v>
      </c>
      <c r="B3777" s="223">
        <v>21</v>
      </c>
      <c r="C3777" s="223">
        <v>34</v>
      </c>
      <c r="D3777" s="223">
        <v>2</v>
      </c>
      <c r="E3777" s="223">
        <v>112248</v>
      </c>
    </row>
    <row r="3778" spans="1:5" ht="15">
      <c r="A3778" s="223" t="s">
        <v>110</v>
      </c>
      <c r="B3778" s="223">
        <v>21</v>
      </c>
      <c r="C3778" s="223">
        <v>34</v>
      </c>
      <c r="D3778" s="223">
        <v>4</v>
      </c>
      <c r="E3778" s="223">
        <v>16885</v>
      </c>
    </row>
    <row r="3779" spans="1:5" ht="15">
      <c r="A3779" s="223" t="s">
        <v>110</v>
      </c>
      <c r="B3779" s="223">
        <v>23</v>
      </c>
      <c r="C3779" s="223">
        <v>21</v>
      </c>
      <c r="D3779" s="223">
        <v>2</v>
      </c>
      <c r="E3779" s="223">
        <v>135714</v>
      </c>
    </row>
    <row r="3780" spans="1:5" ht="15">
      <c r="A3780" s="223" t="s">
        <v>110</v>
      </c>
      <c r="B3780" s="223">
        <v>23</v>
      </c>
      <c r="C3780" s="223">
        <v>21</v>
      </c>
      <c r="D3780" s="223">
        <v>4</v>
      </c>
      <c r="E3780" s="223">
        <v>44257</v>
      </c>
    </row>
    <row r="3781" spans="1:5" ht="15">
      <c r="A3781" s="223" t="s">
        <v>110</v>
      </c>
      <c r="B3781" s="223">
        <v>23</v>
      </c>
      <c r="C3781" s="223">
        <v>27</v>
      </c>
      <c r="D3781" s="223">
        <v>2</v>
      </c>
      <c r="E3781" s="223">
        <v>30496</v>
      </c>
    </row>
    <row r="3782" spans="1:5" ht="15">
      <c r="A3782" s="223" t="s">
        <v>110</v>
      </c>
      <c r="B3782" s="223">
        <v>23</v>
      </c>
      <c r="C3782" s="223">
        <v>27</v>
      </c>
      <c r="D3782" s="223">
        <v>4</v>
      </c>
      <c r="E3782" s="223">
        <v>7673</v>
      </c>
    </row>
    <row r="3783" spans="1:5" ht="15">
      <c r="A3783" s="223" t="s">
        <v>110</v>
      </c>
      <c r="B3783" s="223">
        <v>23</v>
      </c>
      <c r="C3783" s="223">
        <v>27</v>
      </c>
      <c r="D3783" s="223">
        <v>5</v>
      </c>
      <c r="E3783" s="223">
        <v>84000</v>
      </c>
    </row>
    <row r="3784" spans="1:5" ht="15">
      <c r="A3784" s="223" t="s">
        <v>110</v>
      </c>
      <c r="B3784" s="223">
        <v>24</v>
      </c>
      <c r="C3784" s="223">
        <v>26</v>
      </c>
      <c r="D3784" s="223">
        <v>2</v>
      </c>
      <c r="E3784" s="223">
        <v>9278</v>
      </c>
    </row>
    <row r="3785" spans="1:5" ht="15">
      <c r="A3785" s="223" t="s">
        <v>110</v>
      </c>
      <c r="B3785" s="223">
        <v>24</v>
      </c>
      <c r="C3785" s="223">
        <v>26</v>
      </c>
      <c r="D3785" s="223">
        <v>4</v>
      </c>
      <c r="E3785" s="223">
        <v>3685</v>
      </c>
    </row>
    <row r="3786" spans="1:5" ht="15">
      <c r="A3786" s="223" t="s">
        <v>110</v>
      </c>
      <c r="B3786" s="223">
        <v>24</v>
      </c>
      <c r="C3786" s="223">
        <v>27</v>
      </c>
      <c r="D3786" s="223">
        <v>2</v>
      </c>
      <c r="E3786" s="223">
        <v>968373</v>
      </c>
    </row>
    <row r="3787" spans="1:5" ht="15">
      <c r="A3787" s="223" t="s">
        <v>110</v>
      </c>
      <c r="B3787" s="223">
        <v>24</v>
      </c>
      <c r="C3787" s="223">
        <v>27</v>
      </c>
      <c r="D3787" s="223">
        <v>3</v>
      </c>
      <c r="E3787" s="223">
        <v>361156</v>
      </c>
    </row>
    <row r="3788" spans="1:5" ht="15">
      <c r="A3788" s="223" t="s">
        <v>110</v>
      </c>
      <c r="B3788" s="223">
        <v>24</v>
      </c>
      <c r="C3788" s="223">
        <v>27</v>
      </c>
      <c r="D3788" s="223">
        <v>4</v>
      </c>
      <c r="E3788" s="223">
        <v>596037</v>
      </c>
    </row>
    <row r="3789" spans="1:5" ht="15">
      <c r="A3789" s="223" t="s">
        <v>110</v>
      </c>
      <c r="B3789" s="223">
        <v>24</v>
      </c>
      <c r="C3789" s="223">
        <v>27</v>
      </c>
      <c r="D3789" s="223">
        <v>5</v>
      </c>
      <c r="E3789" s="223">
        <v>2698</v>
      </c>
    </row>
    <row r="3790" spans="1:5" ht="15">
      <c r="A3790" s="223" t="s">
        <v>110</v>
      </c>
      <c r="B3790" s="223">
        <v>24</v>
      </c>
      <c r="C3790" s="223">
        <v>27</v>
      </c>
      <c r="D3790" s="223">
        <v>7</v>
      </c>
      <c r="E3790" s="223">
        <v>207745</v>
      </c>
    </row>
    <row r="3791" spans="1:5" ht="15">
      <c r="A3791" s="223" t="s">
        <v>112</v>
      </c>
      <c r="B3791" s="223">
        <v>21</v>
      </c>
      <c r="C3791" s="223">
        <v>21</v>
      </c>
      <c r="D3791" s="223">
        <v>2</v>
      </c>
      <c r="E3791" s="223">
        <v>128710</v>
      </c>
    </row>
    <row r="3792" spans="1:5" ht="15">
      <c r="A3792" s="223" t="s">
        <v>112</v>
      </c>
      <c r="B3792" s="223">
        <v>21</v>
      </c>
      <c r="C3792" s="223">
        <v>21</v>
      </c>
      <c r="D3792" s="223">
        <v>3</v>
      </c>
      <c r="E3792" s="223">
        <v>101305</v>
      </c>
    </row>
    <row r="3793" spans="1:5" ht="15">
      <c r="A3793" s="223" t="s">
        <v>112</v>
      </c>
      <c r="B3793" s="223">
        <v>21</v>
      </c>
      <c r="C3793" s="223">
        <v>21</v>
      </c>
      <c r="D3793" s="223">
        <v>4</v>
      </c>
      <c r="E3793" s="223">
        <v>97704</v>
      </c>
    </row>
    <row r="3794" spans="1:5" ht="15">
      <c r="A3794" s="223" t="s">
        <v>112</v>
      </c>
      <c r="B3794" s="223">
        <v>21</v>
      </c>
      <c r="C3794" s="223">
        <v>24</v>
      </c>
      <c r="D3794" s="223">
        <v>2</v>
      </c>
      <c r="E3794" s="223">
        <v>95044</v>
      </c>
    </row>
    <row r="3795" spans="1:5" ht="15">
      <c r="A3795" s="223" t="s">
        <v>112</v>
      </c>
      <c r="B3795" s="223">
        <v>21</v>
      </c>
      <c r="C3795" s="223">
        <v>24</v>
      </c>
      <c r="D3795" s="223">
        <v>4</v>
      </c>
      <c r="E3795" s="223">
        <v>35659</v>
      </c>
    </row>
    <row r="3796" spans="1:5" ht="15">
      <c r="A3796" s="223" t="s">
        <v>112</v>
      </c>
      <c r="B3796" s="223">
        <v>21</v>
      </c>
      <c r="C3796" s="223">
        <v>25</v>
      </c>
      <c r="D3796" s="223">
        <v>3</v>
      </c>
      <c r="E3796" s="223">
        <v>82051</v>
      </c>
    </row>
    <row r="3797" spans="1:5" ht="15">
      <c r="A3797" s="223" t="s">
        <v>112</v>
      </c>
      <c r="B3797" s="223">
        <v>21</v>
      </c>
      <c r="C3797" s="223">
        <v>25</v>
      </c>
      <c r="D3797" s="223">
        <v>4</v>
      </c>
      <c r="E3797" s="223">
        <v>59214</v>
      </c>
    </row>
    <row r="3798" spans="1:5" ht="15">
      <c r="A3798" s="223" t="s">
        <v>112</v>
      </c>
      <c r="B3798" s="223">
        <v>21</v>
      </c>
      <c r="C3798" s="223">
        <v>26</v>
      </c>
      <c r="D3798" s="223">
        <v>2</v>
      </c>
      <c r="E3798" s="223">
        <v>341323</v>
      </c>
    </row>
    <row r="3799" spans="1:5" ht="15">
      <c r="A3799" s="223" t="s">
        <v>112</v>
      </c>
      <c r="B3799" s="223">
        <v>21</v>
      </c>
      <c r="C3799" s="223">
        <v>26</v>
      </c>
      <c r="D3799" s="223">
        <v>3</v>
      </c>
      <c r="E3799" s="223">
        <v>21786</v>
      </c>
    </row>
    <row r="3800" spans="1:5" ht="15">
      <c r="A3800" s="223" t="s">
        <v>112</v>
      </c>
      <c r="B3800" s="223">
        <v>21</v>
      </c>
      <c r="C3800" s="223">
        <v>26</v>
      </c>
      <c r="D3800" s="223">
        <v>4</v>
      </c>
      <c r="E3800" s="223">
        <v>151603</v>
      </c>
    </row>
    <row r="3801" spans="1:5" ht="15">
      <c r="A3801" s="223" t="s">
        <v>112</v>
      </c>
      <c r="B3801" s="223">
        <v>21</v>
      </c>
      <c r="C3801" s="223">
        <v>27</v>
      </c>
      <c r="D3801" s="223">
        <v>2</v>
      </c>
      <c r="E3801" s="223">
        <v>3165571</v>
      </c>
    </row>
    <row r="3802" spans="1:5" ht="15">
      <c r="A3802" s="223" t="s">
        <v>112</v>
      </c>
      <c r="B3802" s="223">
        <v>21</v>
      </c>
      <c r="C3802" s="223">
        <v>27</v>
      </c>
      <c r="D3802" s="223">
        <v>3</v>
      </c>
      <c r="E3802" s="223">
        <v>918061</v>
      </c>
    </row>
    <row r="3803" spans="1:5" ht="15">
      <c r="A3803" s="223" t="s">
        <v>112</v>
      </c>
      <c r="B3803" s="223">
        <v>21</v>
      </c>
      <c r="C3803" s="223">
        <v>27</v>
      </c>
      <c r="D3803" s="223">
        <v>4</v>
      </c>
      <c r="E3803" s="223">
        <v>2040333</v>
      </c>
    </row>
    <row r="3804" spans="1:5" ht="15">
      <c r="A3804" s="223" t="s">
        <v>112</v>
      </c>
      <c r="B3804" s="223">
        <v>21</v>
      </c>
      <c r="C3804" s="223">
        <v>27</v>
      </c>
      <c r="D3804" s="223">
        <v>7</v>
      </c>
      <c r="E3804" s="223">
        <v>1897677</v>
      </c>
    </row>
    <row r="3805" spans="1:5" ht="15">
      <c r="A3805" s="223" t="s">
        <v>112</v>
      </c>
      <c r="B3805" s="223">
        <v>21</v>
      </c>
      <c r="C3805" s="223">
        <v>31</v>
      </c>
      <c r="D3805" s="223">
        <v>2</v>
      </c>
      <c r="E3805" s="223">
        <v>31107</v>
      </c>
    </row>
    <row r="3806" spans="1:5" ht="15">
      <c r="A3806" s="223" t="s">
        <v>112</v>
      </c>
      <c r="B3806" s="223">
        <v>21</v>
      </c>
      <c r="C3806" s="223">
        <v>31</v>
      </c>
      <c r="D3806" s="223">
        <v>4</v>
      </c>
      <c r="E3806" s="223">
        <v>8332</v>
      </c>
    </row>
    <row r="3807" spans="1:5" ht="15">
      <c r="A3807" s="223" t="s">
        <v>112</v>
      </c>
      <c r="B3807" s="223">
        <v>21</v>
      </c>
      <c r="C3807" s="223">
        <v>34</v>
      </c>
      <c r="D3807" s="223">
        <v>2</v>
      </c>
      <c r="E3807" s="223">
        <v>23561</v>
      </c>
    </row>
    <row r="3808" spans="1:5" ht="15">
      <c r="A3808" s="223" t="s">
        <v>112</v>
      </c>
      <c r="B3808" s="223">
        <v>21</v>
      </c>
      <c r="C3808" s="223">
        <v>34</v>
      </c>
      <c r="D3808" s="223">
        <v>4</v>
      </c>
      <c r="E3808" s="223">
        <v>9373</v>
      </c>
    </row>
    <row r="3809" spans="1:5" ht="15">
      <c r="A3809" s="223" t="s">
        <v>112</v>
      </c>
      <c r="B3809" s="223">
        <v>24</v>
      </c>
      <c r="C3809" s="223">
        <v>27</v>
      </c>
      <c r="D3809" s="223">
        <v>2</v>
      </c>
      <c r="E3809" s="223">
        <v>735866</v>
      </c>
    </row>
    <row r="3810" spans="1:5" ht="15">
      <c r="A3810" s="223" t="s">
        <v>112</v>
      </c>
      <c r="B3810" s="223">
        <v>24</v>
      </c>
      <c r="C3810" s="223">
        <v>27</v>
      </c>
      <c r="D3810" s="223">
        <v>3</v>
      </c>
      <c r="E3810" s="223">
        <v>22606</v>
      </c>
    </row>
    <row r="3811" spans="1:5" ht="15">
      <c r="A3811" s="223" t="s">
        <v>112</v>
      </c>
      <c r="B3811" s="223">
        <v>24</v>
      </c>
      <c r="C3811" s="223">
        <v>27</v>
      </c>
      <c r="D3811" s="223">
        <v>4</v>
      </c>
      <c r="E3811" s="223">
        <v>351073</v>
      </c>
    </row>
    <row r="3812" spans="1:5" ht="15">
      <c r="A3812" s="223" t="s">
        <v>112</v>
      </c>
      <c r="B3812" s="223">
        <v>24</v>
      </c>
      <c r="C3812" s="223">
        <v>27</v>
      </c>
      <c r="D3812" s="223">
        <v>7</v>
      </c>
      <c r="E3812" s="223">
        <v>48369</v>
      </c>
    </row>
    <row r="3813" spans="1:5" ht="15">
      <c r="A3813" s="223" t="s">
        <v>114</v>
      </c>
      <c r="B3813" s="223">
        <v>21</v>
      </c>
      <c r="C3813" s="223">
        <v>21</v>
      </c>
      <c r="D3813" s="223">
        <v>2</v>
      </c>
      <c r="E3813" s="223">
        <v>15000</v>
      </c>
    </row>
    <row r="3814" spans="1:5" ht="15">
      <c r="A3814" s="223" t="s">
        <v>114</v>
      </c>
      <c r="B3814" s="223">
        <v>21</v>
      </c>
      <c r="C3814" s="223">
        <v>21</v>
      </c>
      <c r="D3814" s="223">
        <v>4</v>
      </c>
      <c r="E3814" s="223">
        <v>4690</v>
      </c>
    </row>
    <row r="3815" spans="1:5" ht="15">
      <c r="A3815" s="223" t="s">
        <v>114</v>
      </c>
      <c r="B3815" s="223">
        <v>21</v>
      </c>
      <c r="C3815" s="223">
        <v>27</v>
      </c>
      <c r="D3815" s="223">
        <v>2</v>
      </c>
      <c r="E3815" s="223">
        <v>312809</v>
      </c>
    </row>
    <row r="3816" spans="1:5" ht="15">
      <c r="A3816" s="223" t="s">
        <v>114</v>
      </c>
      <c r="B3816" s="223">
        <v>21</v>
      </c>
      <c r="C3816" s="223">
        <v>27</v>
      </c>
      <c r="D3816" s="223">
        <v>3</v>
      </c>
      <c r="E3816" s="223">
        <v>297886</v>
      </c>
    </row>
    <row r="3817" spans="1:5" ht="15">
      <c r="A3817" s="223" t="s">
        <v>114</v>
      </c>
      <c r="B3817" s="223">
        <v>21</v>
      </c>
      <c r="C3817" s="223">
        <v>27</v>
      </c>
      <c r="D3817" s="223">
        <v>4</v>
      </c>
      <c r="E3817" s="223">
        <v>383224</v>
      </c>
    </row>
    <row r="3818" spans="1:5" ht="15">
      <c r="A3818" s="223" t="s">
        <v>114</v>
      </c>
      <c r="B3818" s="223">
        <v>21</v>
      </c>
      <c r="C3818" s="223">
        <v>27</v>
      </c>
      <c r="D3818" s="223">
        <v>5</v>
      </c>
      <c r="E3818" s="223">
        <v>15206</v>
      </c>
    </row>
    <row r="3819" spans="1:5" ht="15">
      <c r="A3819" s="223" t="s">
        <v>114</v>
      </c>
      <c r="B3819" s="223">
        <v>21</v>
      </c>
      <c r="C3819" s="223">
        <v>27</v>
      </c>
      <c r="D3819" s="223">
        <v>7</v>
      </c>
      <c r="E3819" s="223">
        <v>455585</v>
      </c>
    </row>
    <row r="3820" spans="1:5" ht="15">
      <c r="A3820" s="223" t="s">
        <v>114</v>
      </c>
      <c r="B3820" s="223">
        <v>21</v>
      </c>
      <c r="C3820" s="223">
        <v>32</v>
      </c>
      <c r="D3820" s="223">
        <v>5</v>
      </c>
      <c r="E3820" s="223">
        <v>2400</v>
      </c>
    </row>
    <row r="3821" spans="1:5" ht="15">
      <c r="A3821" s="223" t="s">
        <v>114</v>
      </c>
      <c r="B3821" s="223">
        <v>21</v>
      </c>
      <c r="C3821" s="223">
        <v>33</v>
      </c>
      <c r="D3821" s="223">
        <v>5</v>
      </c>
      <c r="E3821" s="223">
        <v>8800</v>
      </c>
    </row>
    <row r="3822" spans="1:5" ht="15">
      <c r="A3822" s="223" t="s">
        <v>114</v>
      </c>
      <c r="B3822" s="223">
        <v>21</v>
      </c>
      <c r="C3822" s="223">
        <v>34</v>
      </c>
      <c r="D3822" s="223">
        <v>2</v>
      </c>
      <c r="E3822" s="223">
        <v>4395</v>
      </c>
    </row>
    <row r="3823" spans="1:5" ht="15">
      <c r="A3823" s="223" t="s">
        <v>114</v>
      </c>
      <c r="B3823" s="223">
        <v>21</v>
      </c>
      <c r="C3823" s="223">
        <v>34</v>
      </c>
      <c r="D3823" s="223">
        <v>4</v>
      </c>
      <c r="E3823" s="223">
        <v>1921</v>
      </c>
    </row>
    <row r="3824" spans="1:5" ht="15">
      <c r="A3824" s="223" t="s">
        <v>114</v>
      </c>
      <c r="B3824" s="223">
        <v>24</v>
      </c>
      <c r="C3824" s="223">
        <v>26</v>
      </c>
      <c r="D3824" s="223">
        <v>7</v>
      </c>
      <c r="E3824" s="223">
        <v>179173</v>
      </c>
    </row>
    <row r="3825" spans="1:5" ht="15">
      <c r="A3825" s="223" t="s">
        <v>114</v>
      </c>
      <c r="B3825" s="223">
        <v>24</v>
      </c>
      <c r="C3825" s="223">
        <v>27</v>
      </c>
      <c r="D3825" s="223">
        <v>3</v>
      </c>
      <c r="E3825" s="223">
        <v>3175</v>
      </c>
    </row>
    <row r="3826" spans="1:5" ht="15">
      <c r="A3826" s="223" t="s">
        <v>114</v>
      </c>
      <c r="B3826" s="223">
        <v>24</v>
      </c>
      <c r="C3826" s="223">
        <v>27</v>
      </c>
      <c r="D3826" s="223">
        <v>4</v>
      </c>
      <c r="E3826" s="223">
        <v>2652</v>
      </c>
    </row>
    <row r="3827" spans="1:5" ht="15">
      <c r="A3827" s="223" t="s">
        <v>116</v>
      </c>
      <c r="B3827" s="223">
        <v>21</v>
      </c>
      <c r="C3827" s="223">
        <v>21</v>
      </c>
      <c r="D3827" s="223">
        <v>2</v>
      </c>
      <c r="E3827" s="223">
        <v>7125</v>
      </c>
    </row>
    <row r="3828" spans="1:5" ht="15">
      <c r="A3828" s="223" t="s">
        <v>116</v>
      </c>
      <c r="B3828" s="223">
        <v>21</v>
      </c>
      <c r="C3828" s="223">
        <v>21</v>
      </c>
      <c r="D3828" s="223">
        <v>4</v>
      </c>
      <c r="E3828" s="223">
        <v>3532</v>
      </c>
    </row>
    <row r="3829" spans="1:5" ht="15">
      <c r="A3829" s="223" t="s">
        <v>116</v>
      </c>
      <c r="B3829" s="223">
        <v>21</v>
      </c>
      <c r="C3829" s="223">
        <v>27</v>
      </c>
      <c r="D3829" s="223">
        <v>2</v>
      </c>
      <c r="E3829" s="223">
        <v>15711</v>
      </c>
    </row>
    <row r="3830" spans="1:5" ht="15">
      <c r="A3830" s="223" t="s">
        <v>116</v>
      </c>
      <c r="B3830" s="223">
        <v>21</v>
      </c>
      <c r="C3830" s="223">
        <v>27</v>
      </c>
      <c r="D3830" s="223">
        <v>3</v>
      </c>
      <c r="E3830" s="223">
        <v>13073</v>
      </c>
    </row>
    <row r="3831" spans="1:5" ht="15">
      <c r="A3831" s="223" t="s">
        <v>116</v>
      </c>
      <c r="B3831" s="223">
        <v>21</v>
      </c>
      <c r="C3831" s="223">
        <v>27</v>
      </c>
      <c r="D3831" s="223">
        <v>4</v>
      </c>
      <c r="E3831" s="223">
        <v>15662</v>
      </c>
    </row>
    <row r="3832" spans="1:5" ht="15">
      <c r="A3832" s="223" t="s">
        <v>116</v>
      </c>
      <c r="B3832" s="223">
        <v>21</v>
      </c>
      <c r="C3832" s="223">
        <v>27</v>
      </c>
      <c r="D3832" s="223">
        <v>5</v>
      </c>
      <c r="E3832" s="223">
        <v>1500</v>
      </c>
    </row>
    <row r="3833" spans="1:5" ht="15">
      <c r="A3833" s="223" t="s">
        <v>116</v>
      </c>
      <c r="B3833" s="223">
        <v>24</v>
      </c>
      <c r="C3833" s="223">
        <v>26</v>
      </c>
      <c r="D3833" s="223">
        <v>7</v>
      </c>
      <c r="E3833" s="223">
        <v>1001</v>
      </c>
    </row>
    <row r="3834" spans="1:5" ht="15">
      <c r="A3834" s="223" t="s">
        <v>116</v>
      </c>
      <c r="B3834" s="223">
        <v>24</v>
      </c>
      <c r="C3834" s="223">
        <v>27</v>
      </c>
      <c r="D3834" s="223">
        <v>3</v>
      </c>
      <c r="E3834" s="223">
        <v>11498</v>
      </c>
    </row>
    <row r="3835" spans="1:5" ht="15">
      <c r="A3835" s="223" t="s">
        <v>116</v>
      </c>
      <c r="B3835" s="223">
        <v>24</v>
      </c>
      <c r="C3835" s="223">
        <v>27</v>
      </c>
      <c r="D3835" s="223">
        <v>4</v>
      </c>
      <c r="E3835" s="223">
        <v>1115</v>
      </c>
    </row>
    <row r="3836" spans="1:5" ht="15">
      <c r="A3836" s="223" t="s">
        <v>118</v>
      </c>
      <c r="B3836" s="223">
        <v>21</v>
      </c>
      <c r="C3836" s="223">
        <v>26</v>
      </c>
      <c r="D3836" s="223">
        <v>2</v>
      </c>
      <c r="E3836" s="223">
        <v>113378</v>
      </c>
    </row>
    <row r="3837" spans="1:5" ht="15">
      <c r="A3837" s="223" t="s">
        <v>118</v>
      </c>
      <c r="B3837" s="223">
        <v>21</v>
      </c>
      <c r="C3837" s="223">
        <v>26</v>
      </c>
      <c r="D3837" s="223">
        <v>4</v>
      </c>
      <c r="E3837" s="223">
        <v>39246</v>
      </c>
    </row>
    <row r="3838" spans="1:5" ht="15">
      <c r="A3838" s="223" t="s">
        <v>118</v>
      </c>
      <c r="B3838" s="223">
        <v>21</v>
      </c>
      <c r="C3838" s="223">
        <v>26</v>
      </c>
      <c r="D3838" s="223">
        <v>7</v>
      </c>
      <c r="E3838" s="223">
        <v>306468</v>
      </c>
    </row>
    <row r="3839" spans="1:5" ht="15">
      <c r="A3839" s="223" t="s">
        <v>118</v>
      </c>
      <c r="B3839" s="223">
        <v>21</v>
      </c>
      <c r="C3839" s="223">
        <v>27</v>
      </c>
      <c r="D3839" s="223">
        <v>2</v>
      </c>
      <c r="E3839" s="223">
        <v>253321</v>
      </c>
    </row>
    <row r="3840" spans="1:5" ht="15">
      <c r="A3840" s="223" t="s">
        <v>118</v>
      </c>
      <c r="B3840" s="223">
        <v>21</v>
      </c>
      <c r="C3840" s="223">
        <v>27</v>
      </c>
      <c r="D3840" s="223">
        <v>3</v>
      </c>
      <c r="E3840" s="223">
        <v>507832</v>
      </c>
    </row>
    <row r="3841" spans="1:5" ht="15">
      <c r="A3841" s="223" t="s">
        <v>118</v>
      </c>
      <c r="B3841" s="223">
        <v>21</v>
      </c>
      <c r="C3841" s="223">
        <v>27</v>
      </c>
      <c r="D3841" s="223">
        <v>4</v>
      </c>
      <c r="E3841" s="223">
        <v>389184</v>
      </c>
    </row>
    <row r="3842" spans="1:5" ht="15">
      <c r="A3842" s="223" t="s">
        <v>118</v>
      </c>
      <c r="B3842" s="223">
        <v>21</v>
      </c>
      <c r="C3842" s="223">
        <v>27</v>
      </c>
      <c r="D3842" s="223">
        <v>5</v>
      </c>
      <c r="E3842" s="223">
        <v>11434</v>
      </c>
    </row>
    <row r="3843" spans="1:5" ht="15">
      <c r="A3843" s="223" t="s">
        <v>118</v>
      </c>
      <c r="B3843" s="223">
        <v>21</v>
      </c>
      <c r="C3843" s="223">
        <v>27</v>
      </c>
      <c r="D3843" s="223">
        <v>7</v>
      </c>
      <c r="E3843" s="223">
        <v>16007</v>
      </c>
    </row>
    <row r="3844" spans="1:5" ht="15">
      <c r="A3844" s="223" t="s">
        <v>118</v>
      </c>
      <c r="B3844" s="223">
        <v>21</v>
      </c>
      <c r="C3844" s="223">
        <v>27</v>
      </c>
      <c r="D3844" s="223">
        <v>8</v>
      </c>
      <c r="E3844" s="223">
        <v>3201</v>
      </c>
    </row>
    <row r="3845" spans="1:5" ht="15">
      <c r="A3845" s="223" t="s">
        <v>118</v>
      </c>
      <c r="B3845" s="223">
        <v>21</v>
      </c>
      <c r="C3845" s="223">
        <v>31</v>
      </c>
      <c r="D3845" s="223">
        <v>7</v>
      </c>
      <c r="E3845" s="223">
        <v>43</v>
      </c>
    </row>
    <row r="3846" spans="1:5" ht="15">
      <c r="A3846" s="223" t="s">
        <v>118</v>
      </c>
      <c r="B3846" s="223">
        <v>24</v>
      </c>
      <c r="C3846" s="223">
        <v>26</v>
      </c>
      <c r="D3846" s="223">
        <v>7</v>
      </c>
      <c r="E3846" s="223">
        <v>20000</v>
      </c>
    </row>
    <row r="3847" spans="1:5" ht="15">
      <c r="A3847" s="223" t="s">
        <v>118</v>
      </c>
      <c r="B3847" s="223">
        <v>24</v>
      </c>
      <c r="C3847" s="223">
        <v>27</v>
      </c>
      <c r="D3847" s="223">
        <v>2</v>
      </c>
      <c r="E3847" s="223">
        <v>98342</v>
      </c>
    </row>
    <row r="3848" spans="1:5" ht="15">
      <c r="A3848" s="223" t="s">
        <v>118</v>
      </c>
      <c r="B3848" s="223">
        <v>24</v>
      </c>
      <c r="C3848" s="223">
        <v>27</v>
      </c>
      <c r="D3848" s="223">
        <v>4</v>
      </c>
      <c r="E3848" s="223">
        <v>35857</v>
      </c>
    </row>
    <row r="3849" spans="1:5" ht="15">
      <c r="A3849" s="223" t="s">
        <v>118</v>
      </c>
      <c r="B3849" s="223">
        <v>24</v>
      </c>
      <c r="C3849" s="223">
        <v>27</v>
      </c>
      <c r="D3849" s="223">
        <v>5</v>
      </c>
      <c r="E3849" s="223">
        <v>4883</v>
      </c>
    </row>
    <row r="3850" spans="1:5" ht="15">
      <c r="A3850" s="223" t="s">
        <v>119</v>
      </c>
      <c r="B3850" s="223">
        <v>21</v>
      </c>
      <c r="C3850" s="223">
        <v>26</v>
      </c>
      <c r="D3850" s="223">
        <v>7</v>
      </c>
      <c r="E3850" s="223">
        <v>500</v>
      </c>
    </row>
    <row r="3851" spans="1:5" ht="15">
      <c r="A3851" s="223" t="s">
        <v>119</v>
      </c>
      <c r="B3851" s="223">
        <v>21</v>
      </c>
      <c r="C3851" s="223">
        <v>27</v>
      </c>
      <c r="D3851" s="223">
        <v>2</v>
      </c>
      <c r="E3851" s="223">
        <v>58717</v>
      </c>
    </row>
    <row r="3852" spans="1:5" ht="15">
      <c r="A3852" s="223" t="s">
        <v>119</v>
      </c>
      <c r="B3852" s="223">
        <v>21</v>
      </c>
      <c r="C3852" s="223">
        <v>27</v>
      </c>
      <c r="D3852" s="223">
        <v>4</v>
      </c>
      <c r="E3852" s="223">
        <v>25548</v>
      </c>
    </row>
    <row r="3853" spans="1:5" ht="15">
      <c r="A3853" s="223" t="s">
        <v>119</v>
      </c>
      <c r="B3853" s="223">
        <v>21</v>
      </c>
      <c r="C3853" s="223">
        <v>31</v>
      </c>
      <c r="D3853" s="223">
        <v>7</v>
      </c>
      <c r="E3853" s="223">
        <v>150</v>
      </c>
    </row>
    <row r="3854" spans="1:5" ht="15">
      <c r="A3854" s="223" t="s">
        <v>119</v>
      </c>
      <c r="B3854" s="223">
        <v>24</v>
      </c>
      <c r="C3854" s="223">
        <v>27</v>
      </c>
      <c r="D3854" s="223">
        <v>3</v>
      </c>
      <c r="E3854" s="223">
        <v>24867</v>
      </c>
    </row>
    <row r="3855" spans="1:5" ht="15">
      <c r="A3855" s="223" t="s">
        <v>119</v>
      </c>
      <c r="B3855" s="223">
        <v>24</v>
      </c>
      <c r="C3855" s="223">
        <v>27</v>
      </c>
      <c r="D3855" s="223">
        <v>4</v>
      </c>
      <c r="E3855" s="223">
        <v>17405</v>
      </c>
    </row>
    <row r="3856" spans="1:5" ht="15">
      <c r="A3856" s="223" t="s">
        <v>159</v>
      </c>
      <c r="B3856" s="223">
        <v>21</v>
      </c>
      <c r="C3856" s="223">
        <v>27</v>
      </c>
      <c r="D3856" s="223">
        <v>2</v>
      </c>
      <c r="E3856" s="223">
        <v>52047</v>
      </c>
    </row>
    <row r="3857" spans="1:5" ht="15">
      <c r="A3857" s="223" t="s">
        <v>159</v>
      </c>
      <c r="B3857" s="223">
        <v>21</v>
      </c>
      <c r="C3857" s="223">
        <v>27</v>
      </c>
      <c r="D3857" s="223">
        <v>4</v>
      </c>
      <c r="E3857" s="223">
        <v>24147</v>
      </c>
    </row>
    <row r="3858" spans="1:5" ht="15">
      <c r="A3858" s="223" t="s">
        <v>159</v>
      </c>
      <c r="B3858" s="223">
        <v>24</v>
      </c>
      <c r="C3858" s="223">
        <v>26</v>
      </c>
      <c r="D3858" s="223">
        <v>7</v>
      </c>
      <c r="E3858" s="223">
        <v>14000</v>
      </c>
    </row>
    <row r="3859" spans="1:5" ht="15">
      <c r="A3859" s="223" t="s">
        <v>163</v>
      </c>
      <c r="B3859" s="223">
        <v>21</v>
      </c>
      <c r="C3859" s="223">
        <v>21</v>
      </c>
      <c r="D3859" s="223">
        <v>2</v>
      </c>
      <c r="E3859" s="223">
        <v>55606</v>
      </c>
    </row>
    <row r="3860" spans="1:5" ht="15">
      <c r="A3860" s="223" t="s">
        <v>163</v>
      </c>
      <c r="B3860" s="223">
        <v>21</v>
      </c>
      <c r="C3860" s="223">
        <v>21</v>
      </c>
      <c r="D3860" s="223">
        <v>3</v>
      </c>
      <c r="E3860" s="223">
        <v>8358</v>
      </c>
    </row>
    <row r="3861" spans="1:5" ht="15">
      <c r="A3861" s="223" t="s">
        <v>163</v>
      </c>
      <c r="B3861" s="223">
        <v>21</v>
      </c>
      <c r="C3861" s="223">
        <v>21</v>
      </c>
      <c r="D3861" s="223">
        <v>4</v>
      </c>
      <c r="E3861" s="223">
        <v>20686</v>
      </c>
    </row>
    <row r="3862" spans="1:5" ht="15">
      <c r="A3862" s="223" t="s">
        <v>163</v>
      </c>
      <c r="B3862" s="223">
        <v>21</v>
      </c>
      <c r="C3862" s="223">
        <v>21</v>
      </c>
      <c r="D3862" s="223">
        <v>5</v>
      </c>
      <c r="E3862" s="223">
        <v>500</v>
      </c>
    </row>
    <row r="3863" spans="1:5" ht="15">
      <c r="A3863" s="223" t="s">
        <v>163</v>
      </c>
      <c r="B3863" s="223">
        <v>21</v>
      </c>
      <c r="C3863" s="223">
        <v>21</v>
      </c>
      <c r="D3863" s="223">
        <v>7</v>
      </c>
      <c r="E3863" s="223">
        <v>2500</v>
      </c>
    </row>
    <row r="3864" spans="1:5" ht="15">
      <c r="A3864" s="223" t="s">
        <v>163</v>
      </c>
      <c r="B3864" s="223">
        <v>21</v>
      </c>
      <c r="C3864" s="223">
        <v>21</v>
      </c>
      <c r="D3864" s="223">
        <v>8</v>
      </c>
      <c r="E3864" s="223">
        <v>1500</v>
      </c>
    </row>
    <row r="3865" spans="1:5" ht="15">
      <c r="A3865" s="223" t="s">
        <v>163</v>
      </c>
      <c r="B3865" s="223">
        <v>21</v>
      </c>
      <c r="C3865" s="223">
        <v>26</v>
      </c>
      <c r="D3865" s="223">
        <v>2</v>
      </c>
      <c r="E3865" s="223">
        <v>24171</v>
      </c>
    </row>
    <row r="3866" spans="1:5" ht="15">
      <c r="A3866" s="223" t="s">
        <v>163</v>
      </c>
      <c r="B3866" s="223">
        <v>21</v>
      </c>
      <c r="C3866" s="223">
        <v>26</v>
      </c>
      <c r="D3866" s="223">
        <v>3</v>
      </c>
      <c r="E3866" s="223">
        <v>20114</v>
      </c>
    </row>
    <row r="3867" spans="1:5" ht="15">
      <c r="A3867" s="223" t="s">
        <v>163</v>
      </c>
      <c r="B3867" s="223">
        <v>21</v>
      </c>
      <c r="C3867" s="223">
        <v>26</v>
      </c>
      <c r="D3867" s="223">
        <v>4</v>
      </c>
      <c r="E3867" s="223">
        <v>23422</v>
      </c>
    </row>
    <row r="3868" spans="1:5" ht="15">
      <c r="A3868" s="223" t="s">
        <v>163</v>
      </c>
      <c r="B3868" s="223">
        <v>21</v>
      </c>
      <c r="C3868" s="223">
        <v>26</v>
      </c>
      <c r="D3868" s="223">
        <v>5</v>
      </c>
      <c r="E3868" s="223">
        <v>2000</v>
      </c>
    </row>
    <row r="3869" spans="1:5" ht="15">
      <c r="A3869" s="223" t="s">
        <v>163</v>
      </c>
      <c r="B3869" s="223">
        <v>21</v>
      </c>
      <c r="C3869" s="223">
        <v>26</v>
      </c>
      <c r="D3869" s="223">
        <v>7</v>
      </c>
      <c r="E3869" s="223">
        <v>6000</v>
      </c>
    </row>
    <row r="3870" spans="1:5" ht="15">
      <c r="A3870" s="223" t="s">
        <v>163</v>
      </c>
      <c r="B3870" s="223">
        <v>21</v>
      </c>
      <c r="C3870" s="223">
        <v>27</v>
      </c>
      <c r="D3870" s="223">
        <v>2</v>
      </c>
      <c r="E3870" s="223">
        <v>201175</v>
      </c>
    </row>
    <row r="3871" spans="1:5" ht="15">
      <c r="A3871" s="223" t="s">
        <v>163</v>
      </c>
      <c r="B3871" s="223">
        <v>21</v>
      </c>
      <c r="C3871" s="223">
        <v>27</v>
      </c>
      <c r="D3871" s="223">
        <v>3</v>
      </c>
      <c r="E3871" s="223">
        <v>176045</v>
      </c>
    </row>
    <row r="3872" spans="1:5" ht="15">
      <c r="A3872" s="223" t="s">
        <v>163</v>
      </c>
      <c r="B3872" s="223">
        <v>21</v>
      </c>
      <c r="C3872" s="223">
        <v>27</v>
      </c>
      <c r="D3872" s="223">
        <v>4</v>
      </c>
      <c r="E3872" s="223">
        <v>183603</v>
      </c>
    </row>
    <row r="3873" spans="1:5" ht="15">
      <c r="A3873" s="223" t="s">
        <v>163</v>
      </c>
      <c r="B3873" s="223">
        <v>21</v>
      </c>
      <c r="C3873" s="223">
        <v>27</v>
      </c>
      <c r="D3873" s="223">
        <v>5</v>
      </c>
      <c r="E3873" s="223">
        <v>2000</v>
      </c>
    </row>
    <row r="3874" spans="1:5" ht="15">
      <c r="A3874" s="223" t="s">
        <v>163</v>
      </c>
      <c r="B3874" s="223">
        <v>21</v>
      </c>
      <c r="C3874" s="223">
        <v>27</v>
      </c>
      <c r="D3874" s="223">
        <v>7</v>
      </c>
      <c r="E3874" s="223">
        <v>121000</v>
      </c>
    </row>
    <row r="3875" spans="1:5" ht="15">
      <c r="A3875" s="223" t="s">
        <v>163</v>
      </c>
      <c r="B3875" s="223">
        <v>21</v>
      </c>
      <c r="C3875" s="223">
        <v>27</v>
      </c>
      <c r="D3875" s="223">
        <v>8</v>
      </c>
      <c r="E3875" s="223">
        <v>1000</v>
      </c>
    </row>
    <row r="3876" spans="1:5" ht="15">
      <c r="A3876" s="223" t="s">
        <v>163</v>
      </c>
      <c r="B3876" s="223">
        <v>21</v>
      </c>
      <c r="C3876" s="223">
        <v>31</v>
      </c>
      <c r="D3876" s="223">
        <v>7</v>
      </c>
      <c r="E3876" s="223">
        <v>1000</v>
      </c>
    </row>
    <row r="3877" spans="1:5" ht="15">
      <c r="A3877" s="223" t="s">
        <v>163</v>
      </c>
      <c r="B3877" s="223">
        <v>21</v>
      </c>
      <c r="C3877" s="223">
        <v>34</v>
      </c>
      <c r="D3877" s="223">
        <v>2</v>
      </c>
      <c r="E3877" s="223">
        <v>3476</v>
      </c>
    </row>
    <row r="3878" spans="1:5" ht="15">
      <c r="A3878" s="223" t="s">
        <v>163</v>
      </c>
      <c r="B3878" s="223">
        <v>21</v>
      </c>
      <c r="C3878" s="223">
        <v>34</v>
      </c>
      <c r="D3878" s="223">
        <v>4</v>
      </c>
      <c r="E3878" s="223">
        <v>810</v>
      </c>
    </row>
    <row r="3879" spans="1:5" ht="15">
      <c r="A3879" s="223" t="s">
        <v>163</v>
      </c>
      <c r="B3879" s="223">
        <v>24</v>
      </c>
      <c r="C3879" s="223">
        <v>26</v>
      </c>
      <c r="D3879" s="223">
        <v>3</v>
      </c>
      <c r="E3879" s="223">
        <v>6173</v>
      </c>
    </row>
    <row r="3880" spans="1:5" ht="15">
      <c r="A3880" s="223" t="s">
        <v>163</v>
      </c>
      <c r="B3880" s="223">
        <v>24</v>
      </c>
      <c r="C3880" s="223">
        <v>26</v>
      </c>
      <c r="D3880" s="223">
        <v>4</v>
      </c>
      <c r="E3880" s="223">
        <v>4144</v>
      </c>
    </row>
    <row r="3881" spans="1:5" ht="15">
      <c r="A3881" s="223" t="s">
        <v>163</v>
      </c>
      <c r="B3881" s="223">
        <v>24</v>
      </c>
      <c r="C3881" s="223">
        <v>27</v>
      </c>
      <c r="D3881" s="223">
        <v>2</v>
      </c>
      <c r="E3881" s="223">
        <v>9653</v>
      </c>
    </row>
    <row r="3882" spans="1:5" ht="15">
      <c r="A3882" s="223" t="s">
        <v>163</v>
      </c>
      <c r="B3882" s="223">
        <v>24</v>
      </c>
      <c r="C3882" s="223">
        <v>27</v>
      </c>
      <c r="D3882" s="223">
        <v>3</v>
      </c>
      <c r="E3882" s="223">
        <v>71262</v>
      </c>
    </row>
    <row r="3883" spans="1:5" ht="15">
      <c r="A3883" s="223" t="s">
        <v>163</v>
      </c>
      <c r="B3883" s="223">
        <v>24</v>
      </c>
      <c r="C3883" s="223">
        <v>27</v>
      </c>
      <c r="D3883" s="223">
        <v>4</v>
      </c>
      <c r="E3883" s="223">
        <v>56185</v>
      </c>
    </row>
    <row r="3884" spans="1:5" ht="15">
      <c r="A3884" s="223" t="s">
        <v>163</v>
      </c>
      <c r="B3884" s="223">
        <v>24</v>
      </c>
      <c r="C3884" s="223">
        <v>27</v>
      </c>
      <c r="D3884" s="223">
        <v>5</v>
      </c>
      <c r="E3884" s="223">
        <v>500</v>
      </c>
    </row>
    <row r="3885" spans="1:5" ht="15">
      <c r="A3885" s="223" t="s">
        <v>165</v>
      </c>
      <c r="B3885" s="223">
        <v>21</v>
      </c>
      <c r="C3885" s="223">
        <v>21</v>
      </c>
      <c r="D3885" s="223">
        <v>2</v>
      </c>
      <c r="E3885" s="223">
        <v>137774</v>
      </c>
    </row>
    <row r="3886" spans="1:5" ht="15">
      <c r="A3886" s="223" t="s">
        <v>165</v>
      </c>
      <c r="B3886" s="223">
        <v>21</v>
      </c>
      <c r="C3886" s="223">
        <v>21</v>
      </c>
      <c r="D3886" s="223">
        <v>3</v>
      </c>
      <c r="E3886" s="223">
        <v>109595</v>
      </c>
    </row>
    <row r="3887" spans="1:5" ht="15">
      <c r="A3887" s="223" t="s">
        <v>165</v>
      </c>
      <c r="B3887" s="223">
        <v>21</v>
      </c>
      <c r="C3887" s="223">
        <v>21</v>
      </c>
      <c r="D3887" s="223">
        <v>4</v>
      </c>
      <c r="E3887" s="223">
        <v>85613</v>
      </c>
    </row>
    <row r="3888" spans="1:5" ht="15">
      <c r="A3888" s="223" t="s">
        <v>165</v>
      </c>
      <c r="B3888" s="223">
        <v>21</v>
      </c>
      <c r="C3888" s="223">
        <v>21</v>
      </c>
      <c r="D3888" s="223">
        <v>5</v>
      </c>
      <c r="E3888" s="223">
        <v>1098</v>
      </c>
    </row>
    <row r="3889" spans="1:5" ht="15">
      <c r="A3889" s="223" t="s">
        <v>165</v>
      </c>
      <c r="B3889" s="223">
        <v>21</v>
      </c>
      <c r="C3889" s="223">
        <v>21</v>
      </c>
      <c r="D3889" s="223">
        <v>7</v>
      </c>
      <c r="E3889" s="223">
        <v>7500</v>
      </c>
    </row>
    <row r="3890" spans="1:5" ht="15">
      <c r="A3890" s="223" t="s">
        <v>165</v>
      </c>
      <c r="B3890" s="223">
        <v>21</v>
      </c>
      <c r="C3890" s="223">
        <v>21</v>
      </c>
      <c r="D3890" s="223">
        <v>8</v>
      </c>
      <c r="E3890" s="223">
        <v>300</v>
      </c>
    </row>
    <row r="3891" spans="1:5" ht="15">
      <c r="A3891" s="223" t="s">
        <v>165</v>
      </c>
      <c r="B3891" s="223">
        <v>21</v>
      </c>
      <c r="C3891" s="223">
        <v>26</v>
      </c>
      <c r="D3891" s="223">
        <v>2</v>
      </c>
      <c r="E3891" s="223">
        <v>440277</v>
      </c>
    </row>
    <row r="3892" spans="1:5" ht="15">
      <c r="A3892" s="223" t="s">
        <v>165</v>
      </c>
      <c r="B3892" s="223">
        <v>21</v>
      </c>
      <c r="C3892" s="223">
        <v>26</v>
      </c>
      <c r="D3892" s="223">
        <v>3</v>
      </c>
      <c r="E3892" s="223">
        <v>131238</v>
      </c>
    </row>
    <row r="3893" spans="1:5" ht="15">
      <c r="A3893" s="223" t="s">
        <v>165</v>
      </c>
      <c r="B3893" s="223">
        <v>21</v>
      </c>
      <c r="C3893" s="223">
        <v>26</v>
      </c>
      <c r="D3893" s="223">
        <v>4</v>
      </c>
      <c r="E3893" s="223">
        <v>240776</v>
      </c>
    </row>
    <row r="3894" spans="1:5" ht="15">
      <c r="A3894" s="223" t="s">
        <v>165</v>
      </c>
      <c r="B3894" s="223">
        <v>21</v>
      </c>
      <c r="C3894" s="223">
        <v>26</v>
      </c>
      <c r="D3894" s="223">
        <v>5</v>
      </c>
      <c r="E3894" s="223">
        <v>1500</v>
      </c>
    </row>
    <row r="3895" spans="1:5" ht="15">
      <c r="A3895" s="223" t="s">
        <v>165</v>
      </c>
      <c r="B3895" s="223">
        <v>21</v>
      </c>
      <c r="C3895" s="223">
        <v>26</v>
      </c>
      <c r="D3895" s="223">
        <v>7</v>
      </c>
      <c r="E3895" s="223">
        <v>267408</v>
      </c>
    </row>
    <row r="3896" spans="1:5" ht="15">
      <c r="A3896" s="223" t="s">
        <v>165</v>
      </c>
      <c r="B3896" s="223">
        <v>21</v>
      </c>
      <c r="C3896" s="223">
        <v>26</v>
      </c>
      <c r="D3896" s="223">
        <v>8</v>
      </c>
      <c r="E3896" s="223">
        <v>100</v>
      </c>
    </row>
    <row r="3897" spans="1:5" ht="15">
      <c r="A3897" s="223" t="s">
        <v>165</v>
      </c>
      <c r="B3897" s="223">
        <v>21</v>
      </c>
      <c r="C3897" s="223">
        <v>27</v>
      </c>
      <c r="D3897" s="223">
        <v>0</v>
      </c>
      <c r="E3897" s="223">
        <v>15000</v>
      </c>
    </row>
    <row r="3898" spans="1:5" ht="15">
      <c r="A3898" s="223" t="s">
        <v>165</v>
      </c>
      <c r="B3898" s="223">
        <v>21</v>
      </c>
      <c r="C3898" s="223">
        <v>27</v>
      </c>
      <c r="D3898" s="223">
        <v>2</v>
      </c>
      <c r="E3898" s="223">
        <v>1895175</v>
      </c>
    </row>
    <row r="3899" spans="1:5" ht="15">
      <c r="A3899" s="223" t="s">
        <v>165</v>
      </c>
      <c r="B3899" s="223">
        <v>21</v>
      </c>
      <c r="C3899" s="223">
        <v>27</v>
      </c>
      <c r="D3899" s="223">
        <v>3</v>
      </c>
      <c r="E3899" s="223">
        <v>1203332</v>
      </c>
    </row>
    <row r="3900" spans="1:5" ht="15">
      <c r="A3900" s="223" t="s">
        <v>165</v>
      </c>
      <c r="B3900" s="223">
        <v>21</v>
      </c>
      <c r="C3900" s="223">
        <v>27</v>
      </c>
      <c r="D3900" s="223">
        <v>4</v>
      </c>
      <c r="E3900" s="223">
        <v>1421545</v>
      </c>
    </row>
    <row r="3901" spans="1:5" ht="15">
      <c r="A3901" s="223" t="s">
        <v>165</v>
      </c>
      <c r="B3901" s="223">
        <v>21</v>
      </c>
      <c r="C3901" s="223">
        <v>27</v>
      </c>
      <c r="D3901" s="223">
        <v>5</v>
      </c>
      <c r="E3901" s="223">
        <v>24222</v>
      </c>
    </row>
    <row r="3902" spans="1:5" ht="15">
      <c r="A3902" s="223" t="s">
        <v>165</v>
      </c>
      <c r="B3902" s="223">
        <v>21</v>
      </c>
      <c r="C3902" s="223">
        <v>27</v>
      </c>
      <c r="D3902" s="223">
        <v>7</v>
      </c>
      <c r="E3902" s="223">
        <v>1073117</v>
      </c>
    </row>
    <row r="3903" spans="1:5" ht="15">
      <c r="A3903" s="223" t="s">
        <v>165</v>
      </c>
      <c r="B3903" s="223">
        <v>21</v>
      </c>
      <c r="C3903" s="223">
        <v>31</v>
      </c>
      <c r="D3903" s="223">
        <v>7</v>
      </c>
      <c r="E3903" s="223">
        <v>2000</v>
      </c>
    </row>
    <row r="3904" spans="1:5" ht="15">
      <c r="A3904" s="223" t="s">
        <v>165</v>
      </c>
      <c r="B3904" s="223">
        <v>21</v>
      </c>
      <c r="C3904" s="223">
        <v>31</v>
      </c>
      <c r="D3904" s="223">
        <v>8</v>
      </c>
      <c r="E3904" s="223">
        <v>250</v>
      </c>
    </row>
    <row r="3905" spans="1:5" ht="15">
      <c r="A3905" s="223" t="s">
        <v>165</v>
      </c>
      <c r="B3905" s="223">
        <v>21</v>
      </c>
      <c r="C3905" s="223">
        <v>34</v>
      </c>
      <c r="D3905" s="223">
        <v>2</v>
      </c>
      <c r="E3905" s="223">
        <v>48501</v>
      </c>
    </row>
    <row r="3906" spans="1:5" ht="15">
      <c r="A3906" s="223" t="s">
        <v>165</v>
      </c>
      <c r="B3906" s="223">
        <v>21</v>
      </c>
      <c r="C3906" s="223">
        <v>34</v>
      </c>
      <c r="D3906" s="223">
        <v>4</v>
      </c>
      <c r="E3906" s="223">
        <v>11224</v>
      </c>
    </row>
    <row r="3907" spans="1:5" ht="15">
      <c r="A3907" s="223" t="s">
        <v>165</v>
      </c>
      <c r="B3907" s="223">
        <v>24</v>
      </c>
      <c r="C3907" s="223">
        <v>26</v>
      </c>
      <c r="D3907" s="223">
        <v>2</v>
      </c>
      <c r="E3907" s="223">
        <v>109331</v>
      </c>
    </row>
    <row r="3908" spans="1:5" ht="15">
      <c r="A3908" s="223" t="s">
        <v>165</v>
      </c>
      <c r="B3908" s="223">
        <v>24</v>
      </c>
      <c r="C3908" s="223">
        <v>26</v>
      </c>
      <c r="D3908" s="223">
        <v>4</v>
      </c>
      <c r="E3908" s="223">
        <v>37360</v>
      </c>
    </row>
    <row r="3909" spans="1:5" ht="15">
      <c r="A3909" s="223" t="s">
        <v>165</v>
      </c>
      <c r="B3909" s="223">
        <v>24</v>
      </c>
      <c r="C3909" s="223">
        <v>26</v>
      </c>
      <c r="D3909" s="223">
        <v>7</v>
      </c>
      <c r="E3909" s="223">
        <v>179644</v>
      </c>
    </row>
    <row r="3910" spans="1:5" ht="15">
      <c r="A3910" s="223" t="s">
        <v>165</v>
      </c>
      <c r="B3910" s="223">
        <v>24</v>
      </c>
      <c r="C3910" s="223">
        <v>27</v>
      </c>
      <c r="D3910" s="223">
        <v>7</v>
      </c>
      <c r="E3910" s="223">
        <v>93854</v>
      </c>
    </row>
    <row r="3911" spans="1:5" ht="15">
      <c r="A3911" s="223" t="s">
        <v>165</v>
      </c>
      <c r="B3911" s="223">
        <v>24</v>
      </c>
      <c r="C3911" s="223">
        <v>31</v>
      </c>
      <c r="D3911" s="223">
        <v>2</v>
      </c>
      <c r="E3911" s="223">
        <v>2363</v>
      </c>
    </row>
    <row r="3912" spans="1:5" ht="15">
      <c r="A3912" s="223" t="s">
        <v>165</v>
      </c>
      <c r="B3912" s="223">
        <v>24</v>
      </c>
      <c r="C3912" s="223">
        <v>31</v>
      </c>
      <c r="D3912" s="223">
        <v>4</v>
      </c>
      <c r="E3912" s="223">
        <v>542</v>
      </c>
    </row>
    <row r="3913" spans="1:5" ht="15">
      <c r="A3913" s="223" t="s">
        <v>167</v>
      </c>
      <c r="B3913" s="223">
        <v>21</v>
      </c>
      <c r="C3913" s="223">
        <v>21</v>
      </c>
      <c r="D3913" s="223">
        <v>0</v>
      </c>
      <c r="E3913" s="223">
        <v>2000</v>
      </c>
    </row>
    <row r="3914" spans="1:5" ht="15">
      <c r="A3914" s="223" t="s">
        <v>167</v>
      </c>
      <c r="B3914" s="223">
        <v>21</v>
      </c>
      <c r="C3914" s="223">
        <v>21</v>
      </c>
      <c r="D3914" s="223">
        <v>2</v>
      </c>
      <c r="E3914" s="223">
        <v>130618</v>
      </c>
    </row>
    <row r="3915" spans="1:5" ht="15">
      <c r="A3915" s="223" t="s">
        <v>167</v>
      </c>
      <c r="B3915" s="223">
        <v>21</v>
      </c>
      <c r="C3915" s="223">
        <v>21</v>
      </c>
      <c r="D3915" s="223">
        <v>3</v>
      </c>
      <c r="E3915" s="223">
        <v>96797</v>
      </c>
    </row>
    <row r="3916" spans="1:5" ht="15">
      <c r="A3916" s="223" t="s">
        <v>167</v>
      </c>
      <c r="B3916" s="223">
        <v>21</v>
      </c>
      <c r="C3916" s="223">
        <v>21</v>
      </c>
      <c r="D3916" s="223">
        <v>4</v>
      </c>
      <c r="E3916" s="223">
        <v>87307</v>
      </c>
    </row>
    <row r="3917" spans="1:5" ht="15">
      <c r="A3917" s="223" t="s">
        <v>167</v>
      </c>
      <c r="B3917" s="223">
        <v>21</v>
      </c>
      <c r="C3917" s="223">
        <v>21</v>
      </c>
      <c r="D3917" s="223">
        <v>5</v>
      </c>
      <c r="E3917" s="223">
        <v>10300</v>
      </c>
    </row>
    <row r="3918" spans="1:5" ht="15">
      <c r="A3918" s="223" t="s">
        <v>167</v>
      </c>
      <c r="B3918" s="223">
        <v>21</v>
      </c>
      <c r="C3918" s="223">
        <v>21</v>
      </c>
      <c r="D3918" s="223">
        <v>7</v>
      </c>
      <c r="E3918" s="223">
        <v>1111904</v>
      </c>
    </row>
    <row r="3919" spans="1:5" ht="15">
      <c r="A3919" s="223" t="s">
        <v>167</v>
      </c>
      <c r="B3919" s="223">
        <v>21</v>
      </c>
      <c r="C3919" s="223">
        <v>21</v>
      </c>
      <c r="D3919" s="223">
        <v>8</v>
      </c>
      <c r="E3919" s="223">
        <v>1800</v>
      </c>
    </row>
    <row r="3920" spans="1:5" ht="15">
      <c r="A3920" s="223" t="s">
        <v>167</v>
      </c>
      <c r="B3920" s="223">
        <v>21</v>
      </c>
      <c r="C3920" s="223">
        <v>25</v>
      </c>
      <c r="D3920" s="223">
        <v>3</v>
      </c>
      <c r="E3920" s="223">
        <v>79285</v>
      </c>
    </row>
    <row r="3921" spans="1:5" ht="15">
      <c r="A3921" s="223" t="s">
        <v>167</v>
      </c>
      <c r="B3921" s="223">
        <v>21</v>
      </c>
      <c r="C3921" s="223">
        <v>25</v>
      </c>
      <c r="D3921" s="223">
        <v>4</v>
      </c>
      <c r="E3921" s="223">
        <v>57203</v>
      </c>
    </row>
    <row r="3922" spans="1:5" ht="15">
      <c r="A3922" s="223" t="s">
        <v>167</v>
      </c>
      <c r="B3922" s="223">
        <v>21</v>
      </c>
      <c r="C3922" s="223">
        <v>25</v>
      </c>
      <c r="D3922" s="223">
        <v>5</v>
      </c>
      <c r="E3922" s="223">
        <v>4000</v>
      </c>
    </row>
    <row r="3923" spans="1:5" ht="15">
      <c r="A3923" s="223" t="s">
        <v>167</v>
      </c>
      <c r="B3923" s="223">
        <v>21</v>
      </c>
      <c r="C3923" s="223">
        <v>26</v>
      </c>
      <c r="D3923" s="223">
        <v>2</v>
      </c>
      <c r="E3923" s="223">
        <v>862924</v>
      </c>
    </row>
    <row r="3924" spans="1:5" ht="15">
      <c r="A3924" s="223" t="s">
        <v>167</v>
      </c>
      <c r="B3924" s="223">
        <v>21</v>
      </c>
      <c r="C3924" s="223">
        <v>26</v>
      </c>
      <c r="D3924" s="223">
        <v>3</v>
      </c>
      <c r="E3924" s="223">
        <v>119610</v>
      </c>
    </row>
    <row r="3925" spans="1:5" ht="15">
      <c r="A3925" s="223" t="s">
        <v>167</v>
      </c>
      <c r="B3925" s="223">
        <v>21</v>
      </c>
      <c r="C3925" s="223">
        <v>26</v>
      </c>
      <c r="D3925" s="223">
        <v>4</v>
      </c>
      <c r="E3925" s="223">
        <v>390395</v>
      </c>
    </row>
    <row r="3926" spans="1:5" ht="15">
      <c r="A3926" s="223" t="s">
        <v>167</v>
      </c>
      <c r="B3926" s="223">
        <v>21</v>
      </c>
      <c r="C3926" s="223">
        <v>26</v>
      </c>
      <c r="D3926" s="223">
        <v>5</v>
      </c>
      <c r="E3926" s="223">
        <v>39466</v>
      </c>
    </row>
    <row r="3927" spans="1:5" ht="15">
      <c r="A3927" s="223" t="s">
        <v>167</v>
      </c>
      <c r="B3927" s="223">
        <v>21</v>
      </c>
      <c r="C3927" s="223">
        <v>26</v>
      </c>
      <c r="D3927" s="223">
        <v>7</v>
      </c>
      <c r="E3927" s="223">
        <v>382755</v>
      </c>
    </row>
    <row r="3928" spans="1:5" ht="15">
      <c r="A3928" s="223" t="s">
        <v>167</v>
      </c>
      <c r="B3928" s="223">
        <v>21</v>
      </c>
      <c r="C3928" s="223">
        <v>26</v>
      </c>
      <c r="D3928" s="223">
        <v>8</v>
      </c>
      <c r="E3928" s="223">
        <v>13000</v>
      </c>
    </row>
    <row r="3929" spans="1:5" ht="15">
      <c r="A3929" s="223" t="s">
        <v>167</v>
      </c>
      <c r="B3929" s="223">
        <v>21</v>
      </c>
      <c r="C3929" s="223">
        <v>27</v>
      </c>
      <c r="D3929" s="223">
        <v>0</v>
      </c>
      <c r="E3929" s="223">
        <v>2500</v>
      </c>
    </row>
    <row r="3930" spans="1:5" ht="15">
      <c r="A3930" s="223" t="s">
        <v>167</v>
      </c>
      <c r="B3930" s="223">
        <v>21</v>
      </c>
      <c r="C3930" s="223">
        <v>27</v>
      </c>
      <c r="D3930" s="223">
        <v>2</v>
      </c>
      <c r="E3930" s="223">
        <v>1868835</v>
      </c>
    </row>
    <row r="3931" spans="1:5" ht="15">
      <c r="A3931" s="223" t="s">
        <v>167</v>
      </c>
      <c r="B3931" s="223">
        <v>21</v>
      </c>
      <c r="C3931" s="223">
        <v>27</v>
      </c>
      <c r="D3931" s="223">
        <v>3</v>
      </c>
      <c r="E3931" s="223">
        <v>484451</v>
      </c>
    </row>
    <row r="3932" spans="1:5" ht="15">
      <c r="A3932" s="223" t="s">
        <v>167</v>
      </c>
      <c r="B3932" s="223">
        <v>21</v>
      </c>
      <c r="C3932" s="223">
        <v>27</v>
      </c>
      <c r="D3932" s="223">
        <v>4</v>
      </c>
      <c r="E3932" s="223">
        <v>1030682</v>
      </c>
    </row>
    <row r="3933" spans="1:5" ht="15">
      <c r="A3933" s="223" t="s">
        <v>167</v>
      </c>
      <c r="B3933" s="223">
        <v>21</v>
      </c>
      <c r="C3933" s="223">
        <v>27</v>
      </c>
      <c r="D3933" s="223">
        <v>5</v>
      </c>
      <c r="E3933" s="223">
        <v>44600</v>
      </c>
    </row>
    <row r="3934" spans="1:5" ht="15">
      <c r="A3934" s="223" t="s">
        <v>167</v>
      </c>
      <c r="B3934" s="223">
        <v>21</v>
      </c>
      <c r="C3934" s="223">
        <v>27</v>
      </c>
      <c r="D3934" s="223">
        <v>7</v>
      </c>
      <c r="E3934" s="223">
        <v>136500</v>
      </c>
    </row>
    <row r="3935" spans="1:5" ht="15">
      <c r="A3935" s="223" t="s">
        <v>167</v>
      </c>
      <c r="B3935" s="223">
        <v>21</v>
      </c>
      <c r="C3935" s="223">
        <v>27</v>
      </c>
      <c r="D3935" s="223">
        <v>8</v>
      </c>
      <c r="E3935" s="223">
        <v>50</v>
      </c>
    </row>
    <row r="3936" spans="1:5" ht="15">
      <c r="A3936" s="223" t="s">
        <v>167</v>
      </c>
      <c r="B3936" s="223">
        <v>21</v>
      </c>
      <c r="C3936" s="223">
        <v>28</v>
      </c>
      <c r="D3936" s="223">
        <v>3</v>
      </c>
      <c r="E3936" s="223">
        <v>4680</v>
      </c>
    </row>
    <row r="3937" spans="1:5" ht="15">
      <c r="A3937" s="223" t="s">
        <v>167</v>
      </c>
      <c r="B3937" s="223">
        <v>21</v>
      </c>
      <c r="C3937" s="223">
        <v>28</v>
      </c>
      <c r="D3937" s="223">
        <v>4</v>
      </c>
      <c r="E3937" s="223">
        <v>739</v>
      </c>
    </row>
    <row r="3938" spans="1:5" ht="15">
      <c r="A3938" s="223" t="s">
        <v>167</v>
      </c>
      <c r="B3938" s="223">
        <v>21</v>
      </c>
      <c r="C3938" s="223">
        <v>28</v>
      </c>
      <c r="D3938" s="223">
        <v>7</v>
      </c>
      <c r="E3938" s="223">
        <v>1000</v>
      </c>
    </row>
    <row r="3939" spans="1:5" ht="15">
      <c r="A3939" s="223" t="s">
        <v>167</v>
      </c>
      <c r="B3939" s="223">
        <v>21</v>
      </c>
      <c r="C3939" s="223">
        <v>28</v>
      </c>
      <c r="D3939" s="223">
        <v>8</v>
      </c>
      <c r="E3939" s="223">
        <v>750</v>
      </c>
    </row>
    <row r="3940" spans="1:5" ht="15">
      <c r="A3940" s="223" t="s">
        <v>167</v>
      </c>
      <c r="B3940" s="223">
        <v>21</v>
      </c>
      <c r="C3940" s="223">
        <v>31</v>
      </c>
      <c r="D3940" s="223">
        <v>0</v>
      </c>
      <c r="E3940" s="223">
        <v>100</v>
      </c>
    </row>
    <row r="3941" spans="1:5" ht="15">
      <c r="A3941" s="223" t="s">
        <v>167</v>
      </c>
      <c r="B3941" s="223">
        <v>21</v>
      </c>
      <c r="C3941" s="223">
        <v>31</v>
      </c>
      <c r="D3941" s="223">
        <v>2</v>
      </c>
      <c r="E3941" s="223">
        <v>23613</v>
      </c>
    </row>
    <row r="3942" spans="1:5" ht="15">
      <c r="A3942" s="223" t="s">
        <v>167</v>
      </c>
      <c r="B3942" s="223">
        <v>21</v>
      </c>
      <c r="C3942" s="223">
        <v>31</v>
      </c>
      <c r="D3942" s="223">
        <v>4</v>
      </c>
      <c r="E3942" s="223">
        <v>5313</v>
      </c>
    </row>
    <row r="3943" spans="1:5" ht="15">
      <c r="A3943" s="223" t="s">
        <v>167</v>
      </c>
      <c r="B3943" s="223">
        <v>21</v>
      </c>
      <c r="C3943" s="223">
        <v>31</v>
      </c>
      <c r="D3943" s="223">
        <v>5</v>
      </c>
      <c r="E3943" s="223">
        <v>200</v>
      </c>
    </row>
    <row r="3944" spans="1:5" ht="15">
      <c r="A3944" s="223" t="s">
        <v>167</v>
      </c>
      <c r="B3944" s="223">
        <v>21</v>
      </c>
      <c r="C3944" s="223">
        <v>31</v>
      </c>
      <c r="D3944" s="223">
        <v>7</v>
      </c>
      <c r="E3944" s="223">
        <v>10200</v>
      </c>
    </row>
    <row r="3945" spans="1:5" ht="15">
      <c r="A3945" s="223" t="s">
        <v>167</v>
      </c>
      <c r="B3945" s="223">
        <v>21</v>
      </c>
      <c r="C3945" s="223">
        <v>31</v>
      </c>
      <c r="D3945" s="223">
        <v>8</v>
      </c>
      <c r="E3945" s="223">
        <v>100</v>
      </c>
    </row>
    <row r="3946" spans="1:5" ht="15">
      <c r="A3946" s="223" t="s">
        <v>167</v>
      </c>
      <c r="B3946" s="223">
        <v>21</v>
      </c>
      <c r="C3946" s="223">
        <v>32</v>
      </c>
      <c r="D3946" s="223">
        <v>5</v>
      </c>
      <c r="E3946" s="223">
        <v>2750</v>
      </c>
    </row>
    <row r="3947" spans="1:5" ht="15">
      <c r="A3947" s="223" t="s">
        <v>167</v>
      </c>
      <c r="B3947" s="223">
        <v>21</v>
      </c>
      <c r="C3947" s="223">
        <v>33</v>
      </c>
      <c r="D3947" s="223">
        <v>5</v>
      </c>
      <c r="E3947" s="223">
        <v>100</v>
      </c>
    </row>
    <row r="3948" spans="1:5" ht="15">
      <c r="A3948" s="223" t="s">
        <v>167</v>
      </c>
      <c r="B3948" s="223">
        <v>21</v>
      </c>
      <c r="C3948" s="223">
        <v>33</v>
      </c>
      <c r="D3948" s="223">
        <v>7</v>
      </c>
      <c r="E3948" s="223">
        <v>400</v>
      </c>
    </row>
    <row r="3949" spans="1:5" ht="15">
      <c r="A3949" s="223" t="s">
        <v>167</v>
      </c>
      <c r="B3949" s="223">
        <v>21</v>
      </c>
      <c r="C3949" s="223">
        <v>34</v>
      </c>
      <c r="D3949" s="223">
        <v>2</v>
      </c>
      <c r="E3949" s="223">
        <v>35421</v>
      </c>
    </row>
    <row r="3950" spans="1:5" ht="15">
      <c r="A3950" s="223" t="s">
        <v>167</v>
      </c>
      <c r="B3950" s="223">
        <v>21</v>
      </c>
      <c r="C3950" s="223">
        <v>34</v>
      </c>
      <c r="D3950" s="223">
        <v>4</v>
      </c>
      <c r="E3950" s="223">
        <v>7970</v>
      </c>
    </row>
    <row r="3951" spans="1:5" ht="15">
      <c r="A3951" s="223" t="s">
        <v>167</v>
      </c>
      <c r="B3951" s="223">
        <v>23</v>
      </c>
      <c r="C3951" s="223">
        <v>21</v>
      </c>
      <c r="D3951" s="223">
        <v>7</v>
      </c>
      <c r="E3951" s="223">
        <v>13080</v>
      </c>
    </row>
    <row r="3952" spans="1:5" ht="15">
      <c r="A3952" s="223" t="s">
        <v>167</v>
      </c>
      <c r="B3952" s="223">
        <v>23</v>
      </c>
      <c r="C3952" s="223">
        <v>26</v>
      </c>
      <c r="D3952" s="223">
        <v>5</v>
      </c>
      <c r="E3952" s="223">
        <v>16678</v>
      </c>
    </row>
    <row r="3953" spans="1:5" ht="15">
      <c r="A3953" s="223" t="s">
        <v>167</v>
      </c>
      <c r="B3953" s="223">
        <v>23</v>
      </c>
      <c r="C3953" s="223">
        <v>27</v>
      </c>
      <c r="D3953" s="223">
        <v>3</v>
      </c>
      <c r="E3953" s="223">
        <v>56219</v>
      </c>
    </row>
    <row r="3954" spans="1:5" ht="15">
      <c r="A3954" s="223" t="s">
        <v>167</v>
      </c>
      <c r="B3954" s="223">
        <v>23</v>
      </c>
      <c r="C3954" s="223">
        <v>27</v>
      </c>
      <c r="D3954" s="223">
        <v>4</v>
      </c>
      <c r="E3954" s="223">
        <v>38213</v>
      </c>
    </row>
    <row r="3955" spans="1:5" ht="15">
      <c r="A3955" s="223" t="s">
        <v>167</v>
      </c>
      <c r="B3955" s="223">
        <v>23</v>
      </c>
      <c r="C3955" s="223">
        <v>31</v>
      </c>
      <c r="D3955" s="223">
        <v>7</v>
      </c>
      <c r="E3955" s="223">
        <v>38915</v>
      </c>
    </row>
    <row r="3956" spans="1:5" ht="15">
      <c r="A3956" s="223" t="s">
        <v>167</v>
      </c>
      <c r="B3956" s="223">
        <v>23</v>
      </c>
      <c r="C3956" s="223">
        <v>32</v>
      </c>
      <c r="D3956" s="223">
        <v>5</v>
      </c>
      <c r="E3956" s="223">
        <v>36895</v>
      </c>
    </row>
    <row r="3957" spans="1:5" ht="15">
      <c r="A3957" s="223" t="s">
        <v>167</v>
      </c>
      <c r="B3957" s="223">
        <v>24</v>
      </c>
      <c r="C3957" s="223">
        <v>21</v>
      </c>
      <c r="D3957" s="223">
        <v>7</v>
      </c>
      <c r="E3957" s="223">
        <v>78328</v>
      </c>
    </row>
    <row r="3958" spans="1:5" ht="15">
      <c r="A3958" s="223" t="s">
        <v>167</v>
      </c>
      <c r="B3958" s="223">
        <v>24</v>
      </c>
      <c r="C3958" s="223">
        <v>26</v>
      </c>
      <c r="D3958" s="223">
        <v>3</v>
      </c>
      <c r="E3958" s="223">
        <v>12309</v>
      </c>
    </row>
    <row r="3959" spans="1:5" ht="15">
      <c r="A3959" s="223" t="s">
        <v>167</v>
      </c>
      <c r="B3959" s="223">
        <v>24</v>
      </c>
      <c r="C3959" s="223">
        <v>26</v>
      </c>
      <c r="D3959" s="223">
        <v>4</v>
      </c>
      <c r="E3959" s="223">
        <v>6863</v>
      </c>
    </row>
    <row r="3960" spans="1:5" ht="15">
      <c r="A3960" s="223" t="s">
        <v>167</v>
      </c>
      <c r="B3960" s="223">
        <v>24</v>
      </c>
      <c r="C3960" s="223">
        <v>27</v>
      </c>
      <c r="D3960" s="223">
        <v>3</v>
      </c>
      <c r="E3960" s="223">
        <v>594054</v>
      </c>
    </row>
    <row r="3961" spans="1:5" ht="15">
      <c r="A3961" s="223" t="s">
        <v>167</v>
      </c>
      <c r="B3961" s="223">
        <v>24</v>
      </c>
      <c r="C3961" s="223">
        <v>27</v>
      </c>
      <c r="D3961" s="223">
        <v>4</v>
      </c>
      <c r="E3961" s="223">
        <v>376861</v>
      </c>
    </row>
    <row r="3962" spans="1:5" ht="15">
      <c r="A3962" s="223" t="s">
        <v>169</v>
      </c>
      <c r="B3962" s="223">
        <v>21</v>
      </c>
      <c r="C3962" s="223">
        <v>26</v>
      </c>
      <c r="D3962" s="223">
        <v>5</v>
      </c>
      <c r="E3962" s="223">
        <v>216</v>
      </c>
    </row>
    <row r="3963" spans="1:5" ht="15">
      <c r="A3963" s="223" t="s">
        <v>169</v>
      </c>
      <c r="B3963" s="223">
        <v>21</v>
      </c>
      <c r="C3963" s="223">
        <v>26</v>
      </c>
      <c r="D3963" s="223">
        <v>7</v>
      </c>
      <c r="E3963" s="223">
        <v>9241</v>
      </c>
    </row>
    <row r="3964" spans="1:5" ht="15">
      <c r="A3964" s="223" t="s">
        <v>169</v>
      </c>
      <c r="B3964" s="223">
        <v>21</v>
      </c>
      <c r="C3964" s="223">
        <v>26</v>
      </c>
      <c r="D3964" s="223">
        <v>8</v>
      </c>
      <c r="E3964" s="223">
        <v>200</v>
      </c>
    </row>
    <row r="3965" spans="1:5" ht="15">
      <c r="A3965" s="223" t="s">
        <v>169</v>
      </c>
      <c r="B3965" s="223">
        <v>21</v>
      </c>
      <c r="C3965" s="223">
        <v>27</v>
      </c>
      <c r="D3965" s="223">
        <v>2</v>
      </c>
      <c r="E3965" s="223">
        <v>9455</v>
      </c>
    </row>
    <row r="3966" spans="1:5" ht="15">
      <c r="A3966" s="223" t="s">
        <v>169</v>
      </c>
      <c r="B3966" s="223">
        <v>21</v>
      </c>
      <c r="C3966" s="223">
        <v>27</v>
      </c>
      <c r="D3966" s="223">
        <v>4</v>
      </c>
      <c r="E3966" s="223">
        <v>4158</v>
      </c>
    </row>
    <row r="3967" spans="1:5" ht="15">
      <c r="A3967" s="223" t="s">
        <v>169</v>
      </c>
      <c r="B3967" s="223">
        <v>21</v>
      </c>
      <c r="C3967" s="223">
        <v>27</v>
      </c>
      <c r="D3967" s="223">
        <v>5</v>
      </c>
      <c r="E3967" s="223">
        <v>900</v>
      </c>
    </row>
    <row r="3968" spans="1:5" ht="15">
      <c r="A3968" s="223" t="s">
        <v>169</v>
      </c>
      <c r="B3968" s="223">
        <v>21</v>
      </c>
      <c r="C3968" s="223">
        <v>27</v>
      </c>
      <c r="D3968" s="223">
        <v>7</v>
      </c>
      <c r="E3968" s="223">
        <v>2374</v>
      </c>
    </row>
    <row r="3969" spans="1:5" ht="15">
      <c r="A3969" s="223" t="s">
        <v>169</v>
      </c>
      <c r="B3969" s="223">
        <v>21</v>
      </c>
      <c r="C3969" s="223">
        <v>27</v>
      </c>
      <c r="D3969" s="223">
        <v>8</v>
      </c>
      <c r="E3969" s="223">
        <v>200</v>
      </c>
    </row>
    <row r="3970" spans="1:5" ht="15">
      <c r="A3970" s="223" t="s">
        <v>169</v>
      </c>
      <c r="B3970" s="223">
        <v>24</v>
      </c>
      <c r="C3970" s="223">
        <v>26</v>
      </c>
      <c r="D3970" s="223">
        <v>5</v>
      </c>
      <c r="E3970" s="223">
        <v>500</v>
      </c>
    </row>
    <row r="3971" spans="1:5" ht="15">
      <c r="A3971" s="223" t="s">
        <v>169</v>
      </c>
      <c r="B3971" s="223">
        <v>24</v>
      </c>
      <c r="C3971" s="223">
        <v>26</v>
      </c>
      <c r="D3971" s="223">
        <v>7</v>
      </c>
      <c r="E3971" s="223">
        <v>9981</v>
      </c>
    </row>
    <row r="3972" spans="1:5" ht="15">
      <c r="A3972" s="223" t="s">
        <v>169</v>
      </c>
      <c r="B3972" s="223">
        <v>24</v>
      </c>
      <c r="C3972" s="223">
        <v>26</v>
      </c>
      <c r="D3972" s="223">
        <v>8</v>
      </c>
      <c r="E3972" s="223">
        <v>400</v>
      </c>
    </row>
    <row r="3973" spans="1:5" ht="15">
      <c r="A3973" s="223" t="s">
        <v>0</v>
      </c>
      <c r="B3973" s="223">
        <v>21</v>
      </c>
      <c r="C3973" s="223">
        <v>27</v>
      </c>
      <c r="D3973" s="223">
        <v>2</v>
      </c>
      <c r="E3973" s="223">
        <v>87772</v>
      </c>
    </row>
    <row r="3974" spans="1:5" ht="15">
      <c r="A3974" s="223" t="s">
        <v>0</v>
      </c>
      <c r="B3974" s="223">
        <v>21</v>
      </c>
      <c r="C3974" s="223">
        <v>27</v>
      </c>
      <c r="D3974" s="223">
        <v>3</v>
      </c>
      <c r="E3974" s="223">
        <v>85951</v>
      </c>
    </row>
    <row r="3975" spans="1:5" ht="15">
      <c r="A3975" s="223" t="s">
        <v>0</v>
      </c>
      <c r="B3975" s="223">
        <v>21</v>
      </c>
      <c r="C3975" s="223">
        <v>27</v>
      </c>
      <c r="D3975" s="223">
        <v>4</v>
      </c>
      <c r="E3975" s="223">
        <v>99563</v>
      </c>
    </row>
    <row r="3976" spans="1:5" ht="15">
      <c r="A3976" s="223" t="s">
        <v>0</v>
      </c>
      <c r="B3976" s="223">
        <v>21</v>
      </c>
      <c r="C3976" s="223">
        <v>27</v>
      </c>
      <c r="D3976" s="223">
        <v>5</v>
      </c>
      <c r="E3976" s="223">
        <v>3000</v>
      </c>
    </row>
    <row r="3977" spans="1:5" ht="15">
      <c r="A3977" s="223" t="s">
        <v>0</v>
      </c>
      <c r="B3977" s="223">
        <v>21</v>
      </c>
      <c r="C3977" s="223">
        <v>27</v>
      </c>
      <c r="D3977" s="223">
        <v>7</v>
      </c>
      <c r="E3977" s="223">
        <v>5000</v>
      </c>
    </row>
    <row r="3978" spans="1:5" ht="15">
      <c r="A3978" s="223" t="s">
        <v>0</v>
      </c>
      <c r="B3978" s="223">
        <v>21</v>
      </c>
      <c r="C3978" s="223">
        <v>27</v>
      </c>
      <c r="D3978" s="223">
        <v>8</v>
      </c>
      <c r="E3978" s="223">
        <v>200</v>
      </c>
    </row>
    <row r="3979" spans="1:5" ht="15">
      <c r="A3979" s="223" t="s">
        <v>0</v>
      </c>
      <c r="B3979" s="223">
        <v>21</v>
      </c>
      <c r="C3979" s="223">
        <v>31</v>
      </c>
      <c r="D3979" s="223">
        <v>7</v>
      </c>
      <c r="E3979" s="223">
        <v>200</v>
      </c>
    </row>
    <row r="3980" spans="1:5" ht="15">
      <c r="A3980" s="223" t="s">
        <v>0</v>
      </c>
      <c r="B3980" s="223">
        <v>24</v>
      </c>
      <c r="C3980" s="223">
        <v>26</v>
      </c>
      <c r="D3980" s="223">
        <v>7</v>
      </c>
      <c r="E3980" s="223">
        <v>58000</v>
      </c>
    </row>
    <row r="3981" spans="1:5" ht="15">
      <c r="A3981" s="223" t="s">
        <v>2</v>
      </c>
      <c r="B3981" s="223">
        <v>21</v>
      </c>
      <c r="C3981" s="223">
        <v>21</v>
      </c>
      <c r="D3981" s="223">
        <v>2</v>
      </c>
      <c r="E3981" s="223">
        <v>629577</v>
      </c>
    </row>
    <row r="3982" spans="1:5" ht="15">
      <c r="A3982" s="223" t="s">
        <v>2</v>
      </c>
      <c r="B3982" s="223">
        <v>21</v>
      </c>
      <c r="C3982" s="223">
        <v>21</v>
      </c>
      <c r="D3982" s="223">
        <v>3</v>
      </c>
      <c r="E3982" s="223">
        <v>272867</v>
      </c>
    </row>
    <row r="3983" spans="1:5" ht="15">
      <c r="A3983" s="223" t="s">
        <v>2</v>
      </c>
      <c r="B3983" s="223">
        <v>21</v>
      </c>
      <c r="C3983" s="223">
        <v>21</v>
      </c>
      <c r="D3983" s="223">
        <v>4</v>
      </c>
      <c r="E3983" s="223">
        <v>354968</v>
      </c>
    </row>
    <row r="3984" spans="1:5" ht="15">
      <c r="A3984" s="223" t="s">
        <v>2</v>
      </c>
      <c r="B3984" s="223">
        <v>21</v>
      </c>
      <c r="C3984" s="223">
        <v>21</v>
      </c>
      <c r="D3984" s="223">
        <v>5</v>
      </c>
      <c r="E3984" s="223">
        <v>34854</v>
      </c>
    </row>
    <row r="3985" spans="1:5" ht="15">
      <c r="A3985" s="223" t="s">
        <v>2</v>
      </c>
      <c r="B3985" s="223">
        <v>21</v>
      </c>
      <c r="C3985" s="223">
        <v>21</v>
      </c>
      <c r="D3985" s="223">
        <v>7</v>
      </c>
      <c r="E3985" s="223">
        <v>8000</v>
      </c>
    </row>
    <row r="3986" spans="1:5" ht="15">
      <c r="A3986" s="223" t="s">
        <v>2</v>
      </c>
      <c r="B3986" s="223">
        <v>21</v>
      </c>
      <c r="C3986" s="223">
        <v>21</v>
      </c>
      <c r="D3986" s="223">
        <v>8</v>
      </c>
      <c r="E3986" s="223">
        <v>4000</v>
      </c>
    </row>
    <row r="3987" spans="1:5" ht="15">
      <c r="A3987" s="223" t="s">
        <v>2</v>
      </c>
      <c r="B3987" s="223">
        <v>21</v>
      </c>
      <c r="C3987" s="223">
        <v>25</v>
      </c>
      <c r="D3987" s="223">
        <v>3</v>
      </c>
      <c r="E3987" s="223">
        <v>957426</v>
      </c>
    </row>
    <row r="3988" spans="1:5" ht="15">
      <c r="A3988" s="223" t="s">
        <v>2</v>
      </c>
      <c r="B3988" s="223">
        <v>21</v>
      </c>
      <c r="C3988" s="223">
        <v>25</v>
      </c>
      <c r="D3988" s="223">
        <v>4</v>
      </c>
      <c r="E3988" s="223">
        <v>583889</v>
      </c>
    </row>
    <row r="3989" spans="1:5" ht="15">
      <c r="A3989" s="223" t="s">
        <v>2</v>
      </c>
      <c r="B3989" s="223">
        <v>21</v>
      </c>
      <c r="C3989" s="223">
        <v>26</v>
      </c>
      <c r="D3989" s="223">
        <v>2</v>
      </c>
      <c r="E3989" s="223">
        <v>3617058</v>
      </c>
    </row>
    <row r="3990" spans="1:5" ht="15">
      <c r="A3990" s="223" t="s">
        <v>2</v>
      </c>
      <c r="B3990" s="223">
        <v>21</v>
      </c>
      <c r="C3990" s="223">
        <v>26</v>
      </c>
      <c r="D3990" s="223">
        <v>3</v>
      </c>
      <c r="E3990" s="223">
        <v>383283</v>
      </c>
    </row>
    <row r="3991" spans="1:5" ht="15">
      <c r="A3991" s="223" t="s">
        <v>2</v>
      </c>
      <c r="B3991" s="223">
        <v>21</v>
      </c>
      <c r="C3991" s="223">
        <v>26</v>
      </c>
      <c r="D3991" s="223">
        <v>4</v>
      </c>
      <c r="E3991" s="223">
        <v>1636438</v>
      </c>
    </row>
    <row r="3992" spans="1:5" ht="15">
      <c r="A3992" s="223" t="s">
        <v>2</v>
      </c>
      <c r="B3992" s="223">
        <v>21</v>
      </c>
      <c r="C3992" s="223">
        <v>26</v>
      </c>
      <c r="D3992" s="223">
        <v>5</v>
      </c>
      <c r="E3992" s="223">
        <v>72800</v>
      </c>
    </row>
    <row r="3993" spans="1:5" ht="15">
      <c r="A3993" s="223" t="s">
        <v>2</v>
      </c>
      <c r="B3993" s="223">
        <v>21</v>
      </c>
      <c r="C3993" s="223">
        <v>26</v>
      </c>
      <c r="D3993" s="223">
        <v>7</v>
      </c>
      <c r="E3993" s="223">
        <v>420000</v>
      </c>
    </row>
    <row r="3994" spans="1:5" ht="15">
      <c r="A3994" s="223" t="s">
        <v>2</v>
      </c>
      <c r="B3994" s="223">
        <v>21</v>
      </c>
      <c r="C3994" s="223">
        <v>26</v>
      </c>
      <c r="D3994" s="223">
        <v>8</v>
      </c>
      <c r="E3994" s="223">
        <v>19400</v>
      </c>
    </row>
    <row r="3995" spans="1:5" ht="15">
      <c r="A3995" s="223" t="s">
        <v>2</v>
      </c>
      <c r="B3995" s="223">
        <v>21</v>
      </c>
      <c r="C3995" s="223">
        <v>27</v>
      </c>
      <c r="D3995" s="223">
        <v>2</v>
      </c>
      <c r="E3995" s="223">
        <v>10132063</v>
      </c>
    </row>
    <row r="3996" spans="1:5" ht="15">
      <c r="A3996" s="223" t="s">
        <v>2</v>
      </c>
      <c r="B3996" s="223">
        <v>21</v>
      </c>
      <c r="C3996" s="223">
        <v>27</v>
      </c>
      <c r="D3996" s="223">
        <v>3</v>
      </c>
      <c r="E3996" s="223">
        <v>3724255</v>
      </c>
    </row>
    <row r="3997" spans="1:5" ht="15">
      <c r="A3997" s="223" t="s">
        <v>2</v>
      </c>
      <c r="B3997" s="223">
        <v>21</v>
      </c>
      <c r="C3997" s="223">
        <v>27</v>
      </c>
      <c r="D3997" s="223">
        <v>4</v>
      </c>
      <c r="E3997" s="223">
        <v>6712507</v>
      </c>
    </row>
    <row r="3998" spans="1:5" ht="15">
      <c r="A3998" s="223" t="s">
        <v>2</v>
      </c>
      <c r="B3998" s="223">
        <v>21</v>
      </c>
      <c r="C3998" s="223">
        <v>27</v>
      </c>
      <c r="D3998" s="223">
        <v>5</v>
      </c>
      <c r="E3998" s="223">
        <v>363752</v>
      </c>
    </row>
    <row r="3999" spans="1:5" ht="15">
      <c r="A3999" s="223" t="s">
        <v>2</v>
      </c>
      <c r="B3999" s="223">
        <v>21</v>
      </c>
      <c r="C3999" s="223">
        <v>27</v>
      </c>
      <c r="D3999" s="223">
        <v>7</v>
      </c>
      <c r="E3999" s="223">
        <v>296170</v>
      </c>
    </row>
    <row r="4000" spans="1:5" ht="15">
      <c r="A4000" s="223" t="s">
        <v>2</v>
      </c>
      <c r="B4000" s="223">
        <v>21</v>
      </c>
      <c r="C4000" s="223">
        <v>27</v>
      </c>
      <c r="D4000" s="223">
        <v>8</v>
      </c>
      <c r="E4000" s="223">
        <v>17000</v>
      </c>
    </row>
    <row r="4001" spans="1:5" ht="15">
      <c r="A4001" s="223" t="s">
        <v>2</v>
      </c>
      <c r="B4001" s="223">
        <v>21</v>
      </c>
      <c r="C4001" s="223">
        <v>31</v>
      </c>
      <c r="D4001" s="223">
        <v>2</v>
      </c>
      <c r="E4001" s="223">
        <v>50000</v>
      </c>
    </row>
    <row r="4002" spans="1:5" ht="15">
      <c r="A4002" s="223" t="s">
        <v>2</v>
      </c>
      <c r="B4002" s="223">
        <v>21</v>
      </c>
      <c r="C4002" s="223">
        <v>31</v>
      </c>
      <c r="D4002" s="223">
        <v>3</v>
      </c>
      <c r="E4002" s="223">
        <v>25000</v>
      </c>
    </row>
    <row r="4003" spans="1:5" ht="15">
      <c r="A4003" s="223" t="s">
        <v>2</v>
      </c>
      <c r="B4003" s="223">
        <v>21</v>
      </c>
      <c r="C4003" s="223">
        <v>31</v>
      </c>
      <c r="D4003" s="223">
        <v>4</v>
      </c>
      <c r="E4003" s="223">
        <v>6826</v>
      </c>
    </row>
    <row r="4004" spans="1:5" ht="15">
      <c r="A4004" s="223" t="s">
        <v>2</v>
      </c>
      <c r="B4004" s="223">
        <v>21</v>
      </c>
      <c r="C4004" s="223">
        <v>31</v>
      </c>
      <c r="D4004" s="223">
        <v>7</v>
      </c>
      <c r="E4004" s="223">
        <v>10000</v>
      </c>
    </row>
    <row r="4005" spans="1:5" ht="15">
      <c r="A4005" s="223" t="s">
        <v>2</v>
      </c>
      <c r="B4005" s="223">
        <v>21</v>
      </c>
      <c r="C4005" s="223">
        <v>31</v>
      </c>
      <c r="D4005" s="223">
        <v>8</v>
      </c>
      <c r="E4005" s="223">
        <v>5000</v>
      </c>
    </row>
    <row r="4006" spans="1:5" ht="15">
      <c r="A4006" s="223" t="s">
        <v>2</v>
      </c>
      <c r="B4006" s="223">
        <v>23</v>
      </c>
      <c r="C4006" s="223">
        <v>27</v>
      </c>
      <c r="D4006" s="223">
        <v>2</v>
      </c>
      <c r="E4006" s="223">
        <v>395000</v>
      </c>
    </row>
    <row r="4007" spans="1:5" ht="15">
      <c r="A4007" s="223" t="s">
        <v>2</v>
      </c>
      <c r="B4007" s="223">
        <v>23</v>
      </c>
      <c r="C4007" s="223">
        <v>27</v>
      </c>
      <c r="D4007" s="223">
        <v>4</v>
      </c>
      <c r="E4007" s="223">
        <v>43846</v>
      </c>
    </row>
    <row r="4008" spans="1:5" ht="15">
      <c r="A4008" s="223" t="s">
        <v>2</v>
      </c>
      <c r="B4008" s="223">
        <v>23</v>
      </c>
      <c r="C4008" s="223">
        <v>27</v>
      </c>
      <c r="D4008" s="223">
        <v>5</v>
      </c>
      <c r="E4008" s="223">
        <v>169090</v>
      </c>
    </row>
    <row r="4009" spans="1:5" ht="15">
      <c r="A4009" s="223" t="s">
        <v>2</v>
      </c>
      <c r="B4009" s="223">
        <v>23</v>
      </c>
      <c r="C4009" s="223">
        <v>27</v>
      </c>
      <c r="D4009" s="223">
        <v>7</v>
      </c>
      <c r="E4009" s="223">
        <v>86597</v>
      </c>
    </row>
    <row r="4010" spans="1:5" ht="15">
      <c r="A4010" s="223" t="s">
        <v>2</v>
      </c>
      <c r="B4010" s="223">
        <v>23</v>
      </c>
      <c r="C4010" s="223">
        <v>31</v>
      </c>
      <c r="D4010" s="223">
        <v>5</v>
      </c>
      <c r="E4010" s="223">
        <v>42790</v>
      </c>
    </row>
    <row r="4011" spans="1:5" ht="15">
      <c r="A4011" s="223" t="s">
        <v>2</v>
      </c>
      <c r="B4011" s="223">
        <v>23</v>
      </c>
      <c r="C4011" s="223">
        <v>31</v>
      </c>
      <c r="D4011" s="223">
        <v>7</v>
      </c>
      <c r="E4011" s="223">
        <v>70500</v>
      </c>
    </row>
    <row r="4012" spans="1:5" ht="15">
      <c r="A4012" s="223" t="s">
        <v>2</v>
      </c>
      <c r="B4012" s="223">
        <v>24</v>
      </c>
      <c r="C4012" s="223">
        <v>21</v>
      </c>
      <c r="D4012" s="223">
        <v>7</v>
      </c>
      <c r="E4012" s="223">
        <v>25500</v>
      </c>
    </row>
    <row r="4013" spans="1:5" ht="15">
      <c r="A4013" s="223" t="s">
        <v>2</v>
      </c>
      <c r="B4013" s="223">
        <v>24</v>
      </c>
      <c r="C4013" s="223">
        <v>27</v>
      </c>
      <c r="D4013" s="223">
        <v>2</v>
      </c>
      <c r="E4013" s="223">
        <v>826934</v>
      </c>
    </row>
    <row r="4014" spans="1:5" ht="15">
      <c r="A4014" s="223" t="s">
        <v>2</v>
      </c>
      <c r="B4014" s="223">
        <v>24</v>
      </c>
      <c r="C4014" s="223">
        <v>27</v>
      </c>
      <c r="D4014" s="223">
        <v>3</v>
      </c>
      <c r="E4014" s="223">
        <v>1005389</v>
      </c>
    </row>
    <row r="4015" spans="1:5" ht="15">
      <c r="A4015" s="223" t="s">
        <v>2</v>
      </c>
      <c r="B4015" s="223">
        <v>24</v>
      </c>
      <c r="C4015" s="223">
        <v>27</v>
      </c>
      <c r="D4015" s="223">
        <v>4</v>
      </c>
      <c r="E4015" s="223">
        <v>969205</v>
      </c>
    </row>
    <row r="4016" spans="1:5" ht="15">
      <c r="A4016" s="223" t="s">
        <v>2</v>
      </c>
      <c r="B4016" s="223">
        <v>24</v>
      </c>
      <c r="C4016" s="223">
        <v>27</v>
      </c>
      <c r="D4016" s="223">
        <v>5</v>
      </c>
      <c r="E4016" s="223">
        <v>169165</v>
      </c>
    </row>
    <row r="4017" spans="1:5" ht="15">
      <c r="A4017" s="223" t="s">
        <v>2</v>
      </c>
      <c r="B4017" s="223">
        <v>24</v>
      </c>
      <c r="C4017" s="223">
        <v>31</v>
      </c>
      <c r="D4017" s="223">
        <v>7</v>
      </c>
      <c r="E4017" s="223">
        <v>200000</v>
      </c>
    </row>
    <row r="4018" spans="1:5" ht="15">
      <c r="A4018" s="223" t="s">
        <v>388</v>
      </c>
      <c r="B4018" s="223">
        <v>21</v>
      </c>
      <c r="C4018" s="223">
        <v>21</v>
      </c>
      <c r="D4018" s="223">
        <v>2</v>
      </c>
      <c r="E4018" s="223">
        <v>9000</v>
      </c>
    </row>
    <row r="4019" spans="1:5" ht="15">
      <c r="A4019" s="223" t="s">
        <v>388</v>
      </c>
      <c r="B4019" s="223">
        <v>21</v>
      </c>
      <c r="C4019" s="223">
        <v>21</v>
      </c>
      <c r="D4019" s="223">
        <v>4</v>
      </c>
      <c r="E4019" s="223">
        <v>2078</v>
      </c>
    </row>
    <row r="4020" spans="1:5" ht="15">
      <c r="A4020" s="223" t="s">
        <v>388</v>
      </c>
      <c r="B4020" s="223">
        <v>21</v>
      </c>
      <c r="C4020" s="223">
        <v>21</v>
      </c>
      <c r="D4020" s="223">
        <v>8</v>
      </c>
      <c r="E4020" s="223">
        <v>300</v>
      </c>
    </row>
    <row r="4021" spans="1:5" ht="15">
      <c r="A4021" s="223" t="s">
        <v>388</v>
      </c>
      <c r="B4021" s="223">
        <v>21</v>
      </c>
      <c r="C4021" s="223">
        <v>26</v>
      </c>
      <c r="D4021" s="223">
        <v>2</v>
      </c>
      <c r="E4021" s="223">
        <v>84477</v>
      </c>
    </row>
    <row r="4022" spans="1:5" ht="15">
      <c r="A4022" s="223" t="s">
        <v>388</v>
      </c>
      <c r="B4022" s="223">
        <v>21</v>
      </c>
      <c r="C4022" s="223">
        <v>26</v>
      </c>
      <c r="D4022" s="223">
        <v>4</v>
      </c>
      <c r="E4022" s="223">
        <v>31830</v>
      </c>
    </row>
    <row r="4023" spans="1:5" ht="15">
      <c r="A4023" s="223" t="s">
        <v>388</v>
      </c>
      <c r="B4023" s="223">
        <v>21</v>
      </c>
      <c r="C4023" s="223">
        <v>26</v>
      </c>
      <c r="D4023" s="223">
        <v>5</v>
      </c>
      <c r="E4023" s="223">
        <v>500</v>
      </c>
    </row>
    <row r="4024" spans="1:5" ht="15">
      <c r="A4024" s="223" t="s">
        <v>388</v>
      </c>
      <c r="B4024" s="223">
        <v>21</v>
      </c>
      <c r="C4024" s="223">
        <v>26</v>
      </c>
      <c r="D4024" s="223">
        <v>7</v>
      </c>
      <c r="E4024" s="223">
        <v>26500</v>
      </c>
    </row>
    <row r="4025" spans="1:5" ht="15">
      <c r="A4025" s="223" t="s">
        <v>388</v>
      </c>
      <c r="B4025" s="223">
        <v>21</v>
      </c>
      <c r="C4025" s="223">
        <v>26</v>
      </c>
      <c r="D4025" s="223">
        <v>8</v>
      </c>
      <c r="E4025" s="223">
        <v>650</v>
      </c>
    </row>
    <row r="4026" spans="1:5" ht="15">
      <c r="A4026" s="223" t="s">
        <v>388</v>
      </c>
      <c r="B4026" s="223">
        <v>21</v>
      </c>
      <c r="C4026" s="223">
        <v>27</v>
      </c>
      <c r="D4026" s="223">
        <v>2</v>
      </c>
      <c r="E4026" s="223">
        <v>74868</v>
      </c>
    </row>
    <row r="4027" spans="1:5" ht="15">
      <c r="A4027" s="223" t="s">
        <v>388</v>
      </c>
      <c r="B4027" s="223">
        <v>21</v>
      </c>
      <c r="C4027" s="223">
        <v>27</v>
      </c>
      <c r="D4027" s="223">
        <v>3</v>
      </c>
      <c r="E4027" s="223">
        <v>162997</v>
      </c>
    </row>
    <row r="4028" spans="1:5" ht="15">
      <c r="A4028" s="223" t="s">
        <v>388</v>
      </c>
      <c r="B4028" s="223">
        <v>21</v>
      </c>
      <c r="C4028" s="223">
        <v>27</v>
      </c>
      <c r="D4028" s="223">
        <v>4</v>
      </c>
      <c r="E4028" s="223">
        <v>140146</v>
      </c>
    </row>
    <row r="4029" spans="1:5" ht="15">
      <c r="A4029" s="223" t="s">
        <v>388</v>
      </c>
      <c r="B4029" s="223">
        <v>21</v>
      </c>
      <c r="C4029" s="223">
        <v>27</v>
      </c>
      <c r="D4029" s="223">
        <v>5</v>
      </c>
      <c r="E4029" s="223">
        <v>2200</v>
      </c>
    </row>
    <row r="4030" spans="1:5" ht="15">
      <c r="A4030" s="223" t="s">
        <v>388</v>
      </c>
      <c r="B4030" s="223">
        <v>21</v>
      </c>
      <c r="C4030" s="223">
        <v>27</v>
      </c>
      <c r="D4030" s="223">
        <v>7</v>
      </c>
      <c r="E4030" s="223">
        <v>40200</v>
      </c>
    </row>
    <row r="4031" spans="1:5" ht="15">
      <c r="A4031" s="223" t="s">
        <v>388</v>
      </c>
      <c r="B4031" s="223">
        <v>21</v>
      </c>
      <c r="C4031" s="223">
        <v>27</v>
      </c>
      <c r="D4031" s="223">
        <v>8</v>
      </c>
      <c r="E4031" s="223">
        <v>200</v>
      </c>
    </row>
    <row r="4032" spans="1:5" ht="15">
      <c r="A4032" s="223" t="s">
        <v>388</v>
      </c>
      <c r="B4032" s="223">
        <v>21</v>
      </c>
      <c r="C4032" s="223">
        <v>31</v>
      </c>
      <c r="D4032" s="223">
        <v>3</v>
      </c>
      <c r="E4032" s="223">
        <v>2300</v>
      </c>
    </row>
    <row r="4033" spans="1:5" ht="15">
      <c r="A4033" s="223" t="s">
        <v>388</v>
      </c>
      <c r="B4033" s="223">
        <v>21</v>
      </c>
      <c r="C4033" s="223">
        <v>31</v>
      </c>
      <c r="D4033" s="223">
        <v>4</v>
      </c>
      <c r="E4033" s="223">
        <v>499</v>
      </c>
    </row>
    <row r="4034" spans="1:5" ht="15">
      <c r="A4034" s="223" t="s">
        <v>388</v>
      </c>
      <c r="B4034" s="223">
        <v>21</v>
      </c>
      <c r="C4034" s="223">
        <v>31</v>
      </c>
      <c r="D4034" s="223">
        <v>7</v>
      </c>
      <c r="E4034" s="223">
        <v>1000</v>
      </c>
    </row>
    <row r="4035" spans="1:5" ht="15">
      <c r="A4035" s="223" t="s">
        <v>388</v>
      </c>
      <c r="B4035" s="223">
        <v>21</v>
      </c>
      <c r="C4035" s="223">
        <v>34</v>
      </c>
      <c r="D4035" s="223">
        <v>2</v>
      </c>
      <c r="E4035" s="223">
        <v>4000</v>
      </c>
    </row>
    <row r="4036" spans="1:5" ht="15">
      <c r="A4036" s="223" t="s">
        <v>388</v>
      </c>
      <c r="B4036" s="223">
        <v>21</v>
      </c>
      <c r="C4036" s="223">
        <v>34</v>
      </c>
      <c r="D4036" s="223">
        <v>4</v>
      </c>
      <c r="E4036" s="223">
        <v>927</v>
      </c>
    </row>
    <row r="4037" spans="1:5" ht="15">
      <c r="A4037" s="223" t="s">
        <v>388</v>
      </c>
      <c r="B4037" s="223">
        <v>24</v>
      </c>
      <c r="C4037" s="223">
        <v>26</v>
      </c>
      <c r="D4037" s="223">
        <v>5</v>
      </c>
      <c r="E4037" s="223">
        <v>1071</v>
      </c>
    </row>
    <row r="4038" spans="1:5" ht="15">
      <c r="A4038" s="223" t="s">
        <v>388</v>
      </c>
      <c r="B4038" s="223">
        <v>24</v>
      </c>
      <c r="C4038" s="223">
        <v>26</v>
      </c>
      <c r="D4038" s="223">
        <v>7</v>
      </c>
      <c r="E4038" s="223">
        <v>54050</v>
      </c>
    </row>
    <row r="4039" spans="1:5" ht="15">
      <c r="A4039" s="223" t="s">
        <v>391</v>
      </c>
      <c r="B4039" s="223">
        <v>21</v>
      </c>
      <c r="C4039" s="223">
        <v>21</v>
      </c>
      <c r="D4039" s="223">
        <v>2</v>
      </c>
      <c r="E4039" s="223">
        <v>19500</v>
      </c>
    </row>
    <row r="4040" spans="1:5" ht="15">
      <c r="A4040" s="223" t="s">
        <v>391</v>
      </c>
      <c r="B4040" s="223">
        <v>21</v>
      </c>
      <c r="C4040" s="223">
        <v>21</v>
      </c>
      <c r="D4040" s="223">
        <v>4</v>
      </c>
      <c r="E4040" s="223">
        <v>6094</v>
      </c>
    </row>
    <row r="4041" spans="1:5" ht="15">
      <c r="A4041" s="223" t="s">
        <v>391</v>
      </c>
      <c r="B4041" s="223">
        <v>21</v>
      </c>
      <c r="C4041" s="223">
        <v>27</v>
      </c>
      <c r="D4041" s="223">
        <v>2</v>
      </c>
      <c r="E4041" s="223">
        <v>49510</v>
      </c>
    </row>
    <row r="4042" spans="1:5" ht="15">
      <c r="A4042" s="223" t="s">
        <v>391</v>
      </c>
      <c r="B4042" s="223">
        <v>21</v>
      </c>
      <c r="C4042" s="223">
        <v>27</v>
      </c>
      <c r="D4042" s="223">
        <v>4</v>
      </c>
      <c r="E4042" s="223">
        <v>32800</v>
      </c>
    </row>
    <row r="4043" spans="1:5" ht="15">
      <c r="A4043" s="223" t="s">
        <v>391</v>
      </c>
      <c r="B4043" s="223">
        <v>21</v>
      </c>
      <c r="C4043" s="223">
        <v>27</v>
      </c>
      <c r="D4043" s="223">
        <v>7</v>
      </c>
      <c r="E4043" s="223">
        <v>25000</v>
      </c>
    </row>
    <row r="4044" spans="1:5" ht="15">
      <c r="A4044" s="223" t="s">
        <v>391</v>
      </c>
      <c r="B4044" s="223">
        <v>24</v>
      </c>
      <c r="C4044" s="223">
        <v>26</v>
      </c>
      <c r="D4044" s="223">
        <v>7</v>
      </c>
      <c r="E4044" s="223">
        <v>75000</v>
      </c>
    </row>
    <row r="4045" spans="1:5" ht="15">
      <c r="A4045" s="223" t="s">
        <v>391</v>
      </c>
      <c r="B4045" s="223">
        <v>24</v>
      </c>
      <c r="C4045" s="223">
        <v>26</v>
      </c>
      <c r="D4045" s="223">
        <v>8</v>
      </c>
      <c r="E4045" s="223">
        <v>8500</v>
      </c>
    </row>
    <row r="4046" spans="1:5" ht="15">
      <c r="A4046" s="223" t="s">
        <v>391</v>
      </c>
      <c r="B4046" s="223">
        <v>24</v>
      </c>
      <c r="C4046" s="223">
        <v>27</v>
      </c>
      <c r="D4046" s="223">
        <v>5</v>
      </c>
      <c r="E4046" s="223">
        <v>2000</v>
      </c>
    </row>
    <row r="4047" spans="1:5" ht="15">
      <c r="A4047" s="223" t="s">
        <v>393</v>
      </c>
      <c r="B4047" s="223">
        <v>21</v>
      </c>
      <c r="C4047" s="223">
        <v>27</v>
      </c>
      <c r="D4047" s="223">
        <v>2</v>
      </c>
      <c r="E4047" s="223">
        <v>93659</v>
      </c>
    </row>
    <row r="4048" spans="1:5" ht="15">
      <c r="A4048" s="223" t="s">
        <v>393</v>
      </c>
      <c r="B4048" s="223">
        <v>21</v>
      </c>
      <c r="C4048" s="223">
        <v>27</v>
      </c>
      <c r="D4048" s="223">
        <v>3</v>
      </c>
      <c r="E4048" s="223">
        <v>159528</v>
      </c>
    </row>
    <row r="4049" spans="1:5" ht="15">
      <c r="A4049" s="223" t="s">
        <v>393</v>
      </c>
      <c r="B4049" s="223">
        <v>21</v>
      </c>
      <c r="C4049" s="223">
        <v>27</v>
      </c>
      <c r="D4049" s="223">
        <v>4</v>
      </c>
      <c r="E4049" s="223">
        <v>105241</v>
      </c>
    </row>
    <row r="4050" spans="1:5" ht="15">
      <c r="A4050" s="223" t="s">
        <v>393</v>
      </c>
      <c r="B4050" s="223">
        <v>21</v>
      </c>
      <c r="C4050" s="223">
        <v>27</v>
      </c>
      <c r="D4050" s="223">
        <v>5</v>
      </c>
      <c r="E4050" s="223">
        <v>27500</v>
      </c>
    </row>
    <row r="4051" spans="1:5" ht="15">
      <c r="A4051" s="223" t="s">
        <v>393</v>
      </c>
      <c r="B4051" s="223">
        <v>21</v>
      </c>
      <c r="C4051" s="223">
        <v>27</v>
      </c>
      <c r="D4051" s="223">
        <v>7</v>
      </c>
      <c r="E4051" s="223">
        <v>118000</v>
      </c>
    </row>
    <row r="4052" spans="1:5" ht="15">
      <c r="A4052" s="223" t="s">
        <v>393</v>
      </c>
      <c r="B4052" s="223">
        <v>21</v>
      </c>
      <c r="C4052" s="223">
        <v>29</v>
      </c>
      <c r="D4052" s="223">
        <v>7</v>
      </c>
      <c r="E4052" s="223">
        <v>25000</v>
      </c>
    </row>
    <row r="4053" spans="1:5" ht="15">
      <c r="A4053" s="223" t="s">
        <v>393</v>
      </c>
      <c r="B4053" s="223">
        <v>21</v>
      </c>
      <c r="C4053" s="223">
        <v>32</v>
      </c>
      <c r="D4053" s="223">
        <v>5</v>
      </c>
      <c r="E4053" s="223">
        <v>4500</v>
      </c>
    </row>
    <row r="4054" spans="1:5" ht="15">
      <c r="A4054" s="223" t="s">
        <v>393</v>
      </c>
      <c r="B4054" s="223">
        <v>21</v>
      </c>
      <c r="C4054" s="223">
        <v>33</v>
      </c>
      <c r="D4054" s="223">
        <v>5</v>
      </c>
      <c r="E4054" s="223">
        <v>4500</v>
      </c>
    </row>
    <row r="4055" spans="1:5" ht="15">
      <c r="A4055" s="223" t="s">
        <v>393</v>
      </c>
      <c r="B4055" s="223">
        <v>24</v>
      </c>
      <c r="C4055" s="223">
        <v>26</v>
      </c>
      <c r="D4055" s="223">
        <v>7</v>
      </c>
      <c r="E4055" s="223">
        <v>59466</v>
      </c>
    </row>
    <row r="4056" spans="1:5" ht="15">
      <c r="A4056" s="223" t="s">
        <v>393</v>
      </c>
      <c r="B4056" s="223">
        <v>24</v>
      </c>
      <c r="C4056" s="223">
        <v>27</v>
      </c>
      <c r="D4056" s="223">
        <v>3</v>
      </c>
      <c r="E4056" s="223">
        <v>2462</v>
      </c>
    </row>
    <row r="4057" spans="1:5" ht="15">
      <c r="A4057" s="223" t="s">
        <v>393</v>
      </c>
      <c r="B4057" s="223">
        <v>24</v>
      </c>
      <c r="C4057" s="223">
        <v>27</v>
      </c>
      <c r="D4057" s="223">
        <v>4</v>
      </c>
      <c r="E4057" s="223">
        <v>1383</v>
      </c>
    </row>
    <row r="4058" spans="1:5" ht="15">
      <c r="A4058" s="223" t="s">
        <v>395</v>
      </c>
      <c r="B4058" s="223">
        <v>21</v>
      </c>
      <c r="C4058" s="223">
        <v>21</v>
      </c>
      <c r="D4058" s="223">
        <v>2</v>
      </c>
      <c r="E4058" s="223">
        <v>539312</v>
      </c>
    </row>
    <row r="4059" spans="1:5" ht="15">
      <c r="A4059" s="223" t="s">
        <v>395</v>
      </c>
      <c r="B4059" s="223">
        <v>21</v>
      </c>
      <c r="C4059" s="223">
        <v>21</v>
      </c>
      <c r="D4059" s="223">
        <v>3</v>
      </c>
      <c r="E4059" s="223">
        <v>128910</v>
      </c>
    </row>
    <row r="4060" spans="1:5" ht="15">
      <c r="A4060" s="223" t="s">
        <v>395</v>
      </c>
      <c r="B4060" s="223">
        <v>21</v>
      </c>
      <c r="C4060" s="223">
        <v>21</v>
      </c>
      <c r="D4060" s="223">
        <v>4</v>
      </c>
      <c r="E4060" s="223">
        <v>221206</v>
      </c>
    </row>
    <row r="4061" spans="1:5" ht="15">
      <c r="A4061" s="223" t="s">
        <v>395</v>
      </c>
      <c r="B4061" s="223">
        <v>21</v>
      </c>
      <c r="C4061" s="223">
        <v>25</v>
      </c>
      <c r="D4061" s="223">
        <v>2</v>
      </c>
      <c r="E4061" s="223">
        <v>319159</v>
      </c>
    </row>
    <row r="4062" spans="1:5" ht="15">
      <c r="A4062" s="223" t="s">
        <v>395</v>
      </c>
      <c r="B4062" s="223">
        <v>21</v>
      </c>
      <c r="C4062" s="223">
        <v>25</v>
      </c>
      <c r="D4062" s="223">
        <v>3</v>
      </c>
      <c r="E4062" s="223">
        <v>24248</v>
      </c>
    </row>
    <row r="4063" spans="1:5" ht="15">
      <c r="A4063" s="223" t="s">
        <v>395</v>
      </c>
      <c r="B4063" s="223">
        <v>21</v>
      </c>
      <c r="C4063" s="223">
        <v>25</v>
      </c>
      <c r="D4063" s="223">
        <v>4</v>
      </c>
      <c r="E4063" s="223">
        <v>128097</v>
      </c>
    </row>
    <row r="4064" spans="1:5" ht="15">
      <c r="A4064" s="223" t="s">
        <v>395</v>
      </c>
      <c r="B4064" s="223">
        <v>21</v>
      </c>
      <c r="C4064" s="223">
        <v>26</v>
      </c>
      <c r="D4064" s="223">
        <v>2</v>
      </c>
      <c r="E4064" s="223">
        <v>3610526</v>
      </c>
    </row>
    <row r="4065" spans="1:5" ht="15">
      <c r="A4065" s="223" t="s">
        <v>395</v>
      </c>
      <c r="B4065" s="223">
        <v>21</v>
      </c>
      <c r="C4065" s="223">
        <v>26</v>
      </c>
      <c r="D4065" s="223">
        <v>3</v>
      </c>
      <c r="E4065" s="223">
        <v>261219</v>
      </c>
    </row>
    <row r="4066" spans="1:5" ht="15">
      <c r="A4066" s="223" t="s">
        <v>395</v>
      </c>
      <c r="B4066" s="223">
        <v>21</v>
      </c>
      <c r="C4066" s="223">
        <v>26</v>
      </c>
      <c r="D4066" s="223">
        <v>4</v>
      </c>
      <c r="E4066" s="223">
        <v>1477465</v>
      </c>
    </row>
    <row r="4067" spans="1:5" ht="15">
      <c r="A4067" s="223" t="s">
        <v>395</v>
      </c>
      <c r="B4067" s="223">
        <v>21</v>
      </c>
      <c r="C4067" s="223">
        <v>26</v>
      </c>
      <c r="D4067" s="223">
        <v>7</v>
      </c>
      <c r="E4067" s="223">
        <v>600000</v>
      </c>
    </row>
    <row r="4068" spans="1:5" ht="15">
      <c r="A4068" s="223" t="s">
        <v>395</v>
      </c>
      <c r="B4068" s="223">
        <v>21</v>
      </c>
      <c r="C4068" s="223">
        <v>26</v>
      </c>
      <c r="D4068" s="223">
        <v>8</v>
      </c>
      <c r="E4068" s="223">
        <v>12500</v>
      </c>
    </row>
    <row r="4069" spans="1:5" ht="15">
      <c r="A4069" s="223" t="s">
        <v>395</v>
      </c>
      <c r="B4069" s="223">
        <v>21</v>
      </c>
      <c r="C4069" s="223">
        <v>27</v>
      </c>
      <c r="D4069" s="223">
        <v>2</v>
      </c>
      <c r="E4069" s="223">
        <v>5130291</v>
      </c>
    </row>
    <row r="4070" spans="1:5" ht="15">
      <c r="A4070" s="223" t="s">
        <v>395</v>
      </c>
      <c r="B4070" s="223">
        <v>21</v>
      </c>
      <c r="C4070" s="223">
        <v>27</v>
      </c>
      <c r="D4070" s="223">
        <v>3</v>
      </c>
      <c r="E4070" s="223">
        <v>3618358</v>
      </c>
    </row>
    <row r="4071" spans="1:5" ht="15">
      <c r="A4071" s="223" t="s">
        <v>395</v>
      </c>
      <c r="B4071" s="223">
        <v>21</v>
      </c>
      <c r="C4071" s="223">
        <v>27</v>
      </c>
      <c r="D4071" s="223">
        <v>4</v>
      </c>
      <c r="E4071" s="223">
        <v>4157853</v>
      </c>
    </row>
    <row r="4072" spans="1:5" ht="15">
      <c r="A4072" s="223" t="s">
        <v>395</v>
      </c>
      <c r="B4072" s="223">
        <v>21</v>
      </c>
      <c r="C4072" s="223">
        <v>27</v>
      </c>
      <c r="D4072" s="223">
        <v>5</v>
      </c>
      <c r="E4072" s="223">
        <v>150000</v>
      </c>
    </row>
    <row r="4073" spans="1:5" ht="15">
      <c r="A4073" s="223" t="s">
        <v>395</v>
      </c>
      <c r="B4073" s="223">
        <v>21</v>
      </c>
      <c r="C4073" s="223">
        <v>31</v>
      </c>
      <c r="D4073" s="223">
        <v>7</v>
      </c>
      <c r="E4073" s="223">
        <v>25000</v>
      </c>
    </row>
    <row r="4074" spans="1:5" ht="15">
      <c r="A4074" s="223" t="s">
        <v>395</v>
      </c>
      <c r="B4074" s="223">
        <v>21</v>
      </c>
      <c r="C4074" s="223">
        <v>34</v>
      </c>
      <c r="D4074" s="223">
        <v>2</v>
      </c>
      <c r="E4074" s="223">
        <v>148078</v>
      </c>
    </row>
    <row r="4075" spans="1:5" ht="15">
      <c r="A4075" s="223" t="s">
        <v>395</v>
      </c>
      <c r="B4075" s="223">
        <v>21</v>
      </c>
      <c r="C4075" s="223">
        <v>34</v>
      </c>
      <c r="D4075" s="223">
        <v>4</v>
      </c>
      <c r="E4075" s="223">
        <v>34282</v>
      </c>
    </row>
    <row r="4076" spans="1:5" ht="15">
      <c r="A4076" s="223" t="s">
        <v>395</v>
      </c>
      <c r="B4076" s="223">
        <v>24</v>
      </c>
      <c r="C4076" s="223">
        <v>26</v>
      </c>
      <c r="D4076" s="223">
        <v>2</v>
      </c>
      <c r="E4076" s="223">
        <v>104530</v>
      </c>
    </row>
    <row r="4077" spans="1:5" ht="15">
      <c r="A4077" s="223" t="s">
        <v>395</v>
      </c>
      <c r="B4077" s="223">
        <v>24</v>
      </c>
      <c r="C4077" s="223">
        <v>26</v>
      </c>
      <c r="D4077" s="223">
        <v>4</v>
      </c>
      <c r="E4077" s="223">
        <v>23797</v>
      </c>
    </row>
    <row r="4078" spans="1:5" ht="15">
      <c r="A4078" s="223" t="s">
        <v>395</v>
      </c>
      <c r="B4078" s="223">
        <v>24</v>
      </c>
      <c r="C4078" s="223">
        <v>27</v>
      </c>
      <c r="D4078" s="223">
        <v>2</v>
      </c>
      <c r="E4078" s="223">
        <v>125377</v>
      </c>
    </row>
    <row r="4079" spans="1:5" ht="15">
      <c r="A4079" s="223" t="s">
        <v>395</v>
      </c>
      <c r="B4079" s="223">
        <v>24</v>
      </c>
      <c r="C4079" s="223">
        <v>27</v>
      </c>
      <c r="D4079" s="223">
        <v>3</v>
      </c>
      <c r="E4079" s="223">
        <v>847636</v>
      </c>
    </row>
    <row r="4080" spans="1:5" ht="15">
      <c r="A4080" s="223" t="s">
        <v>395</v>
      </c>
      <c r="B4080" s="223">
        <v>24</v>
      </c>
      <c r="C4080" s="223">
        <v>27</v>
      </c>
      <c r="D4080" s="223">
        <v>4</v>
      </c>
      <c r="E4080" s="223">
        <v>582677</v>
      </c>
    </row>
    <row r="4081" spans="1:5" ht="15">
      <c r="A4081" s="223" t="s">
        <v>395</v>
      </c>
      <c r="B4081" s="223">
        <v>24</v>
      </c>
      <c r="C4081" s="223">
        <v>27</v>
      </c>
      <c r="D4081" s="223">
        <v>5</v>
      </c>
      <c r="E4081" s="223">
        <v>8307</v>
      </c>
    </row>
    <row r="4082" spans="1:5" ht="15">
      <c r="A4082" s="223" t="s">
        <v>395</v>
      </c>
      <c r="B4082" s="223">
        <v>24</v>
      </c>
      <c r="C4082" s="223">
        <v>27</v>
      </c>
      <c r="D4082" s="223">
        <v>7</v>
      </c>
      <c r="E4082" s="223">
        <v>139711</v>
      </c>
    </row>
    <row r="4083" spans="1:5" ht="15">
      <c r="A4083" s="223" t="s">
        <v>1515</v>
      </c>
      <c r="B4083" s="223">
        <v>21</v>
      </c>
      <c r="C4083" s="223">
        <v>26</v>
      </c>
      <c r="D4083" s="223">
        <v>5</v>
      </c>
      <c r="E4083" s="223">
        <v>4833</v>
      </c>
    </row>
    <row r="4084" spans="1:5" ht="15">
      <c r="A4084" s="223" t="s">
        <v>1515</v>
      </c>
      <c r="B4084" s="223">
        <v>21</v>
      </c>
      <c r="C4084" s="223">
        <v>26</v>
      </c>
      <c r="D4084" s="223">
        <v>7</v>
      </c>
      <c r="E4084" s="223">
        <v>113760</v>
      </c>
    </row>
    <row r="4085" spans="1:5" ht="15">
      <c r="A4085" s="223" t="s">
        <v>1515</v>
      </c>
      <c r="B4085" s="223">
        <v>21</v>
      </c>
      <c r="C4085" s="223">
        <v>27</v>
      </c>
      <c r="D4085" s="223">
        <v>2</v>
      </c>
      <c r="E4085" s="223">
        <v>73460</v>
      </c>
    </row>
    <row r="4086" spans="1:5" ht="15">
      <c r="A4086" s="223" t="s">
        <v>1515</v>
      </c>
      <c r="B4086" s="223">
        <v>21</v>
      </c>
      <c r="C4086" s="223">
        <v>27</v>
      </c>
      <c r="D4086" s="223">
        <v>3</v>
      </c>
      <c r="E4086" s="223">
        <v>117384</v>
      </c>
    </row>
    <row r="4087" spans="1:5" ht="15">
      <c r="A4087" s="223" t="s">
        <v>1515</v>
      </c>
      <c r="B4087" s="223">
        <v>21</v>
      </c>
      <c r="C4087" s="223">
        <v>27</v>
      </c>
      <c r="D4087" s="223">
        <v>4</v>
      </c>
      <c r="E4087" s="223">
        <v>69595</v>
      </c>
    </row>
    <row r="4088" spans="1:5" ht="15">
      <c r="A4088" s="223" t="s">
        <v>1515</v>
      </c>
      <c r="B4088" s="223">
        <v>24</v>
      </c>
      <c r="C4088" s="223">
        <v>27</v>
      </c>
      <c r="D4088" s="223">
        <v>2</v>
      </c>
      <c r="E4088" s="223">
        <v>17000</v>
      </c>
    </row>
    <row r="4089" spans="1:5" ht="15">
      <c r="A4089" s="223" t="s">
        <v>1515</v>
      </c>
      <c r="B4089" s="223">
        <v>24</v>
      </c>
      <c r="C4089" s="223">
        <v>27</v>
      </c>
      <c r="D4089" s="223">
        <v>4</v>
      </c>
      <c r="E4089" s="223">
        <v>4108</v>
      </c>
    </row>
    <row r="4090" spans="1:5" ht="15">
      <c r="A4090" s="223" t="s">
        <v>397</v>
      </c>
      <c r="B4090" s="223">
        <v>21</v>
      </c>
      <c r="C4090" s="223">
        <v>21</v>
      </c>
      <c r="D4090" s="223">
        <v>2</v>
      </c>
      <c r="E4090" s="223">
        <v>279869</v>
      </c>
    </row>
    <row r="4091" spans="1:5" ht="15">
      <c r="A4091" s="223" t="s">
        <v>397</v>
      </c>
      <c r="B4091" s="223">
        <v>21</v>
      </c>
      <c r="C4091" s="223">
        <v>21</v>
      </c>
      <c r="D4091" s="223">
        <v>3</v>
      </c>
      <c r="E4091" s="223">
        <v>37893</v>
      </c>
    </row>
    <row r="4092" spans="1:5" ht="15">
      <c r="A4092" s="223" t="s">
        <v>397</v>
      </c>
      <c r="B4092" s="223">
        <v>21</v>
      </c>
      <c r="C4092" s="223">
        <v>21</v>
      </c>
      <c r="D4092" s="223">
        <v>4</v>
      </c>
      <c r="E4092" s="223">
        <v>108650</v>
      </c>
    </row>
    <row r="4093" spans="1:5" ht="15">
      <c r="A4093" s="223" t="s">
        <v>397</v>
      </c>
      <c r="B4093" s="223">
        <v>21</v>
      </c>
      <c r="C4093" s="223">
        <v>21</v>
      </c>
      <c r="D4093" s="223">
        <v>5</v>
      </c>
      <c r="E4093" s="223">
        <v>1000</v>
      </c>
    </row>
    <row r="4094" spans="1:5" ht="15">
      <c r="A4094" s="223" t="s">
        <v>397</v>
      </c>
      <c r="B4094" s="223">
        <v>21</v>
      </c>
      <c r="C4094" s="223">
        <v>24</v>
      </c>
      <c r="D4094" s="223">
        <v>5</v>
      </c>
      <c r="E4094" s="223">
        <v>2000</v>
      </c>
    </row>
    <row r="4095" spans="1:5" ht="15">
      <c r="A4095" s="223" t="s">
        <v>397</v>
      </c>
      <c r="B4095" s="223">
        <v>21</v>
      </c>
      <c r="C4095" s="223">
        <v>26</v>
      </c>
      <c r="D4095" s="223">
        <v>2</v>
      </c>
      <c r="E4095" s="223">
        <v>94615</v>
      </c>
    </row>
    <row r="4096" spans="1:5" ht="15">
      <c r="A4096" s="223" t="s">
        <v>397</v>
      </c>
      <c r="B4096" s="223">
        <v>21</v>
      </c>
      <c r="C4096" s="223">
        <v>26</v>
      </c>
      <c r="D4096" s="223">
        <v>4</v>
      </c>
      <c r="E4096" s="223">
        <v>34125</v>
      </c>
    </row>
    <row r="4097" spans="1:5" ht="15">
      <c r="A4097" s="223" t="s">
        <v>397</v>
      </c>
      <c r="B4097" s="223">
        <v>21</v>
      </c>
      <c r="C4097" s="223">
        <v>26</v>
      </c>
      <c r="D4097" s="223">
        <v>7</v>
      </c>
      <c r="E4097" s="223">
        <v>382000</v>
      </c>
    </row>
    <row r="4098" spans="1:5" ht="15">
      <c r="A4098" s="223" t="s">
        <v>397</v>
      </c>
      <c r="B4098" s="223">
        <v>21</v>
      </c>
      <c r="C4098" s="223">
        <v>27</v>
      </c>
      <c r="D4098" s="223">
        <v>2</v>
      </c>
      <c r="E4098" s="223">
        <v>392373</v>
      </c>
    </row>
    <row r="4099" spans="1:5" ht="15">
      <c r="A4099" s="223" t="s">
        <v>397</v>
      </c>
      <c r="B4099" s="223">
        <v>21</v>
      </c>
      <c r="C4099" s="223">
        <v>27</v>
      </c>
      <c r="D4099" s="223">
        <v>3</v>
      </c>
      <c r="E4099" s="223">
        <v>249527</v>
      </c>
    </row>
    <row r="4100" spans="1:5" ht="15">
      <c r="A4100" s="223" t="s">
        <v>397</v>
      </c>
      <c r="B4100" s="223">
        <v>21</v>
      </c>
      <c r="C4100" s="223">
        <v>27</v>
      </c>
      <c r="D4100" s="223">
        <v>4</v>
      </c>
      <c r="E4100" s="223">
        <v>318902</v>
      </c>
    </row>
    <row r="4101" spans="1:5" ht="15">
      <c r="A4101" s="223" t="s">
        <v>397</v>
      </c>
      <c r="B4101" s="223">
        <v>21</v>
      </c>
      <c r="C4101" s="223">
        <v>27</v>
      </c>
      <c r="D4101" s="223">
        <v>5</v>
      </c>
      <c r="E4101" s="223">
        <v>54000</v>
      </c>
    </row>
    <row r="4102" spans="1:5" ht="15">
      <c r="A4102" s="223" t="s">
        <v>397</v>
      </c>
      <c r="B4102" s="223">
        <v>21</v>
      </c>
      <c r="C4102" s="223">
        <v>27</v>
      </c>
      <c r="D4102" s="223">
        <v>7</v>
      </c>
      <c r="E4102" s="223">
        <v>15000</v>
      </c>
    </row>
    <row r="4103" spans="1:5" ht="15">
      <c r="A4103" s="223" t="s">
        <v>397</v>
      </c>
      <c r="B4103" s="223">
        <v>21</v>
      </c>
      <c r="C4103" s="223">
        <v>33</v>
      </c>
      <c r="D4103" s="223">
        <v>5</v>
      </c>
      <c r="E4103" s="223">
        <v>50000</v>
      </c>
    </row>
    <row r="4104" spans="1:5" ht="15">
      <c r="A4104" s="223" t="s">
        <v>397</v>
      </c>
      <c r="B4104" s="223">
        <v>24</v>
      </c>
      <c r="C4104" s="223">
        <v>27</v>
      </c>
      <c r="D4104" s="223">
        <v>3</v>
      </c>
      <c r="E4104" s="223">
        <v>105316</v>
      </c>
    </row>
    <row r="4105" spans="1:5" ht="15">
      <c r="A4105" s="223" t="s">
        <v>397</v>
      </c>
      <c r="B4105" s="223">
        <v>24</v>
      </c>
      <c r="C4105" s="223">
        <v>27</v>
      </c>
      <c r="D4105" s="223">
        <v>4</v>
      </c>
      <c r="E4105" s="223">
        <v>71668</v>
      </c>
    </row>
    <row r="4106" spans="1:5" ht="15">
      <c r="A4106" s="223" t="s">
        <v>399</v>
      </c>
      <c r="B4106" s="223">
        <v>21</v>
      </c>
      <c r="C4106" s="223">
        <v>21</v>
      </c>
      <c r="D4106" s="223">
        <v>2</v>
      </c>
      <c r="E4106" s="223">
        <v>28352</v>
      </c>
    </row>
    <row r="4107" spans="1:5" ht="15">
      <c r="A4107" s="223" t="s">
        <v>399</v>
      </c>
      <c r="B4107" s="223">
        <v>21</v>
      </c>
      <c r="C4107" s="223">
        <v>21</v>
      </c>
      <c r="D4107" s="223">
        <v>4</v>
      </c>
      <c r="E4107" s="223">
        <v>9931</v>
      </c>
    </row>
    <row r="4108" spans="1:5" ht="15">
      <c r="A4108" s="223" t="s">
        <v>399</v>
      </c>
      <c r="B4108" s="223">
        <v>21</v>
      </c>
      <c r="C4108" s="223">
        <v>26</v>
      </c>
      <c r="D4108" s="223">
        <v>2</v>
      </c>
      <c r="E4108" s="223">
        <v>21301</v>
      </c>
    </row>
    <row r="4109" spans="1:5" ht="15">
      <c r="A4109" s="223" t="s">
        <v>399</v>
      </c>
      <c r="B4109" s="223">
        <v>21</v>
      </c>
      <c r="C4109" s="223">
        <v>26</v>
      </c>
      <c r="D4109" s="223">
        <v>4</v>
      </c>
      <c r="E4109" s="223">
        <v>4883</v>
      </c>
    </row>
    <row r="4110" spans="1:5" ht="15">
      <c r="A4110" s="223" t="s">
        <v>399</v>
      </c>
      <c r="B4110" s="223">
        <v>21</v>
      </c>
      <c r="C4110" s="223">
        <v>26</v>
      </c>
      <c r="D4110" s="223">
        <v>5</v>
      </c>
      <c r="E4110" s="223">
        <v>1250</v>
      </c>
    </row>
    <row r="4111" spans="1:5" ht="15">
      <c r="A4111" s="223" t="s">
        <v>399</v>
      </c>
      <c r="B4111" s="223">
        <v>21</v>
      </c>
      <c r="C4111" s="223">
        <v>26</v>
      </c>
      <c r="D4111" s="223">
        <v>7</v>
      </c>
      <c r="E4111" s="223">
        <v>110000</v>
      </c>
    </row>
    <row r="4112" spans="1:5" ht="15">
      <c r="A4112" s="223" t="s">
        <v>399</v>
      </c>
      <c r="B4112" s="223">
        <v>21</v>
      </c>
      <c r="C4112" s="223">
        <v>27</v>
      </c>
      <c r="D4112" s="223">
        <v>2</v>
      </c>
      <c r="E4112" s="223">
        <v>122661</v>
      </c>
    </row>
    <row r="4113" spans="1:5" ht="15">
      <c r="A4113" s="223" t="s">
        <v>399</v>
      </c>
      <c r="B4113" s="223">
        <v>21</v>
      </c>
      <c r="C4113" s="223">
        <v>27</v>
      </c>
      <c r="D4113" s="223">
        <v>3</v>
      </c>
      <c r="E4113" s="223">
        <v>139660</v>
      </c>
    </row>
    <row r="4114" spans="1:5" ht="15">
      <c r="A4114" s="223" t="s">
        <v>399</v>
      </c>
      <c r="B4114" s="223">
        <v>21</v>
      </c>
      <c r="C4114" s="223">
        <v>27</v>
      </c>
      <c r="D4114" s="223">
        <v>4</v>
      </c>
      <c r="E4114" s="223">
        <v>147489</v>
      </c>
    </row>
    <row r="4115" spans="1:5" ht="15">
      <c r="A4115" s="223" t="s">
        <v>399</v>
      </c>
      <c r="B4115" s="223">
        <v>21</v>
      </c>
      <c r="C4115" s="223">
        <v>27</v>
      </c>
      <c r="D4115" s="223">
        <v>5</v>
      </c>
      <c r="E4115" s="223">
        <v>6500</v>
      </c>
    </row>
    <row r="4116" spans="1:5" ht="15">
      <c r="A4116" s="223" t="s">
        <v>399</v>
      </c>
      <c r="B4116" s="223">
        <v>21</v>
      </c>
      <c r="C4116" s="223">
        <v>27</v>
      </c>
      <c r="D4116" s="223">
        <v>7</v>
      </c>
      <c r="E4116" s="223">
        <v>3150</v>
      </c>
    </row>
    <row r="4117" spans="1:5" ht="15">
      <c r="A4117" s="223" t="s">
        <v>399</v>
      </c>
      <c r="B4117" s="223">
        <v>21</v>
      </c>
      <c r="C4117" s="223">
        <v>27</v>
      </c>
      <c r="D4117" s="223">
        <v>8</v>
      </c>
      <c r="E4117" s="223">
        <v>1200</v>
      </c>
    </row>
    <row r="4118" spans="1:5" ht="15">
      <c r="A4118" s="223" t="s">
        <v>399</v>
      </c>
      <c r="B4118" s="223">
        <v>21</v>
      </c>
      <c r="C4118" s="223">
        <v>27</v>
      </c>
      <c r="D4118" s="223">
        <v>9</v>
      </c>
      <c r="E4118" s="223">
        <v>1000</v>
      </c>
    </row>
    <row r="4119" spans="1:5" ht="15">
      <c r="A4119" s="223" t="s">
        <v>399</v>
      </c>
      <c r="B4119" s="223">
        <v>24</v>
      </c>
      <c r="C4119" s="223">
        <v>27</v>
      </c>
      <c r="D4119" s="223">
        <v>2</v>
      </c>
      <c r="E4119" s="223">
        <v>58467</v>
      </c>
    </row>
    <row r="4120" spans="1:5" ht="15">
      <c r="A4120" s="223" t="s">
        <v>399</v>
      </c>
      <c r="B4120" s="223">
        <v>24</v>
      </c>
      <c r="C4120" s="223">
        <v>27</v>
      </c>
      <c r="D4120" s="223">
        <v>4</v>
      </c>
      <c r="E4120" s="223">
        <v>21786</v>
      </c>
    </row>
    <row r="4121" spans="1:5" ht="15">
      <c r="A4121" s="223" t="s">
        <v>401</v>
      </c>
      <c r="B4121" s="223">
        <v>21</v>
      </c>
      <c r="C4121" s="223">
        <v>21</v>
      </c>
      <c r="D4121" s="223">
        <v>3</v>
      </c>
      <c r="E4121" s="223">
        <v>59045</v>
      </c>
    </row>
    <row r="4122" spans="1:5" ht="15">
      <c r="A4122" s="223" t="s">
        <v>401</v>
      </c>
      <c r="B4122" s="223">
        <v>21</v>
      </c>
      <c r="C4122" s="223">
        <v>21</v>
      </c>
      <c r="D4122" s="223">
        <v>4</v>
      </c>
      <c r="E4122" s="223">
        <v>19732</v>
      </c>
    </row>
    <row r="4123" spans="1:5" ht="15">
      <c r="A4123" s="223" t="s">
        <v>401</v>
      </c>
      <c r="B4123" s="223">
        <v>21</v>
      </c>
      <c r="C4123" s="223">
        <v>21</v>
      </c>
      <c r="D4123" s="223">
        <v>5</v>
      </c>
      <c r="E4123" s="223">
        <v>2000</v>
      </c>
    </row>
    <row r="4124" spans="1:5" ht="15">
      <c r="A4124" s="223" t="s">
        <v>401</v>
      </c>
      <c r="B4124" s="223">
        <v>21</v>
      </c>
      <c r="C4124" s="223">
        <v>26</v>
      </c>
      <c r="D4124" s="223">
        <v>2</v>
      </c>
      <c r="E4124" s="223">
        <v>1122320</v>
      </c>
    </row>
    <row r="4125" spans="1:5" ht="15">
      <c r="A4125" s="223" t="s">
        <v>401</v>
      </c>
      <c r="B4125" s="223">
        <v>21</v>
      </c>
      <c r="C4125" s="223">
        <v>26</v>
      </c>
      <c r="D4125" s="223">
        <v>3</v>
      </c>
      <c r="E4125" s="223">
        <v>80718</v>
      </c>
    </row>
    <row r="4126" spans="1:5" ht="15">
      <c r="A4126" s="223" t="s">
        <v>401</v>
      </c>
      <c r="B4126" s="223">
        <v>21</v>
      </c>
      <c r="C4126" s="223">
        <v>26</v>
      </c>
      <c r="D4126" s="223">
        <v>4</v>
      </c>
      <c r="E4126" s="223">
        <v>447435</v>
      </c>
    </row>
    <row r="4127" spans="1:5" ht="15">
      <c r="A4127" s="223" t="s">
        <v>401</v>
      </c>
      <c r="B4127" s="223">
        <v>21</v>
      </c>
      <c r="C4127" s="223">
        <v>26</v>
      </c>
      <c r="D4127" s="223">
        <v>5</v>
      </c>
      <c r="E4127" s="223">
        <v>14000</v>
      </c>
    </row>
    <row r="4128" spans="1:5" ht="15">
      <c r="A4128" s="223" t="s">
        <v>401</v>
      </c>
      <c r="B4128" s="223">
        <v>21</v>
      </c>
      <c r="C4128" s="223">
        <v>26</v>
      </c>
      <c r="D4128" s="223">
        <v>7</v>
      </c>
      <c r="E4128" s="223">
        <v>792000</v>
      </c>
    </row>
    <row r="4129" spans="1:5" ht="15">
      <c r="A4129" s="223" t="s">
        <v>401</v>
      </c>
      <c r="B4129" s="223">
        <v>21</v>
      </c>
      <c r="C4129" s="223">
        <v>26</v>
      </c>
      <c r="D4129" s="223">
        <v>8</v>
      </c>
      <c r="E4129" s="223">
        <v>10000</v>
      </c>
    </row>
    <row r="4130" spans="1:5" ht="15">
      <c r="A4130" s="223" t="s">
        <v>401</v>
      </c>
      <c r="B4130" s="223">
        <v>21</v>
      </c>
      <c r="C4130" s="223">
        <v>27</v>
      </c>
      <c r="D4130" s="223">
        <v>2</v>
      </c>
      <c r="E4130" s="223">
        <v>1600367</v>
      </c>
    </row>
    <row r="4131" spans="1:5" ht="15">
      <c r="A4131" s="223" t="s">
        <v>401</v>
      </c>
      <c r="B4131" s="223">
        <v>21</v>
      </c>
      <c r="C4131" s="223">
        <v>27</v>
      </c>
      <c r="D4131" s="223">
        <v>3</v>
      </c>
      <c r="E4131" s="223">
        <v>2647221</v>
      </c>
    </row>
    <row r="4132" spans="1:5" ht="15">
      <c r="A4132" s="223" t="s">
        <v>401</v>
      </c>
      <c r="B4132" s="223">
        <v>21</v>
      </c>
      <c r="C4132" s="223">
        <v>27</v>
      </c>
      <c r="D4132" s="223">
        <v>4</v>
      </c>
      <c r="E4132" s="223">
        <v>2162987</v>
      </c>
    </row>
    <row r="4133" spans="1:5" ht="15">
      <c r="A4133" s="223" t="s">
        <v>401</v>
      </c>
      <c r="B4133" s="223">
        <v>21</v>
      </c>
      <c r="C4133" s="223">
        <v>27</v>
      </c>
      <c r="D4133" s="223">
        <v>5</v>
      </c>
      <c r="E4133" s="223">
        <v>30000</v>
      </c>
    </row>
    <row r="4134" spans="1:5" ht="15">
      <c r="A4134" s="223" t="s">
        <v>401</v>
      </c>
      <c r="B4134" s="223">
        <v>21</v>
      </c>
      <c r="C4134" s="223">
        <v>27</v>
      </c>
      <c r="D4134" s="223">
        <v>7</v>
      </c>
      <c r="E4134" s="223">
        <v>200000</v>
      </c>
    </row>
    <row r="4135" spans="1:5" ht="15">
      <c r="A4135" s="223" t="s">
        <v>401</v>
      </c>
      <c r="B4135" s="223">
        <v>21</v>
      </c>
      <c r="C4135" s="223">
        <v>34</v>
      </c>
      <c r="D4135" s="223">
        <v>2</v>
      </c>
      <c r="E4135" s="223">
        <v>41186</v>
      </c>
    </row>
    <row r="4136" spans="1:5" ht="15">
      <c r="A4136" s="223" t="s">
        <v>401</v>
      </c>
      <c r="B4136" s="223">
        <v>21</v>
      </c>
      <c r="C4136" s="223">
        <v>34</v>
      </c>
      <c r="D4136" s="223">
        <v>4</v>
      </c>
      <c r="E4136" s="223">
        <v>9491</v>
      </c>
    </row>
    <row r="4137" spans="1:5" ht="15">
      <c r="A4137" s="223" t="s">
        <v>401</v>
      </c>
      <c r="B4137" s="223">
        <v>23</v>
      </c>
      <c r="C4137" s="223">
        <v>26</v>
      </c>
      <c r="D4137" s="223">
        <v>7</v>
      </c>
      <c r="E4137" s="223">
        <v>125000</v>
      </c>
    </row>
    <row r="4138" spans="1:5" ht="15">
      <c r="A4138" s="223" t="s">
        <v>401</v>
      </c>
      <c r="B4138" s="223">
        <v>24</v>
      </c>
      <c r="C4138" s="223">
        <v>27</v>
      </c>
      <c r="D4138" s="223">
        <v>2</v>
      </c>
      <c r="E4138" s="223">
        <v>637814</v>
      </c>
    </row>
    <row r="4139" spans="1:5" ht="15">
      <c r="A4139" s="223" t="s">
        <v>401</v>
      </c>
      <c r="B4139" s="223">
        <v>24</v>
      </c>
      <c r="C4139" s="223">
        <v>27</v>
      </c>
      <c r="D4139" s="223">
        <v>4</v>
      </c>
      <c r="E4139" s="223">
        <v>245702</v>
      </c>
    </row>
    <row r="4140" spans="1:5" ht="15">
      <c r="A4140" s="223" t="s">
        <v>401</v>
      </c>
      <c r="B4140" s="223">
        <v>29</v>
      </c>
      <c r="C4140" s="223">
        <v>27</v>
      </c>
      <c r="D4140" s="223">
        <v>2</v>
      </c>
      <c r="E4140" s="223">
        <v>11144</v>
      </c>
    </row>
    <row r="4141" spans="1:5" ht="15">
      <c r="A4141" s="223" t="s">
        <v>401</v>
      </c>
      <c r="B4141" s="223">
        <v>29</v>
      </c>
      <c r="C4141" s="223">
        <v>27</v>
      </c>
      <c r="D4141" s="223">
        <v>4</v>
      </c>
      <c r="E4141" s="223">
        <v>4041</v>
      </c>
    </row>
    <row r="4142" spans="1:5" ht="15">
      <c r="A4142" s="223" t="s">
        <v>384</v>
      </c>
      <c r="B4142" s="223">
        <v>21</v>
      </c>
      <c r="C4142" s="223">
        <v>21</v>
      </c>
      <c r="D4142" s="223">
        <v>2</v>
      </c>
      <c r="E4142" s="223">
        <v>75928</v>
      </c>
    </row>
    <row r="4143" spans="1:5" ht="15">
      <c r="A4143" s="223" t="s">
        <v>384</v>
      </c>
      <c r="B4143" s="223">
        <v>21</v>
      </c>
      <c r="C4143" s="223">
        <v>21</v>
      </c>
      <c r="D4143" s="223">
        <v>3</v>
      </c>
      <c r="E4143" s="223">
        <v>52642</v>
      </c>
    </row>
    <row r="4144" spans="1:5" ht="15">
      <c r="A4144" s="223" t="s">
        <v>384</v>
      </c>
      <c r="B4144" s="223">
        <v>21</v>
      </c>
      <c r="C4144" s="223">
        <v>21</v>
      </c>
      <c r="D4144" s="223">
        <v>4</v>
      </c>
      <c r="E4144" s="223">
        <v>47688</v>
      </c>
    </row>
    <row r="4145" spans="1:5" ht="15">
      <c r="A4145" s="223" t="s">
        <v>384</v>
      </c>
      <c r="B4145" s="223">
        <v>21</v>
      </c>
      <c r="C4145" s="223">
        <v>26</v>
      </c>
      <c r="D4145" s="223">
        <v>2</v>
      </c>
      <c r="E4145" s="223">
        <v>233795</v>
      </c>
    </row>
    <row r="4146" spans="1:5" ht="15">
      <c r="A4146" s="223" t="s">
        <v>384</v>
      </c>
      <c r="B4146" s="223">
        <v>21</v>
      </c>
      <c r="C4146" s="223">
        <v>26</v>
      </c>
      <c r="D4146" s="223">
        <v>4</v>
      </c>
      <c r="E4146" s="223">
        <v>90975</v>
      </c>
    </row>
    <row r="4147" spans="1:5" ht="15">
      <c r="A4147" s="223" t="s">
        <v>384</v>
      </c>
      <c r="B4147" s="223">
        <v>21</v>
      </c>
      <c r="C4147" s="223">
        <v>26</v>
      </c>
      <c r="D4147" s="223">
        <v>7</v>
      </c>
      <c r="E4147" s="223">
        <v>179400</v>
      </c>
    </row>
    <row r="4148" spans="1:5" ht="15">
      <c r="A4148" s="223" t="s">
        <v>384</v>
      </c>
      <c r="B4148" s="223">
        <v>21</v>
      </c>
      <c r="C4148" s="223">
        <v>27</v>
      </c>
      <c r="D4148" s="223">
        <v>2</v>
      </c>
      <c r="E4148" s="223">
        <v>749724</v>
      </c>
    </row>
    <row r="4149" spans="1:5" ht="15">
      <c r="A4149" s="223" t="s">
        <v>384</v>
      </c>
      <c r="B4149" s="223">
        <v>21</v>
      </c>
      <c r="C4149" s="223">
        <v>27</v>
      </c>
      <c r="D4149" s="223">
        <v>3</v>
      </c>
      <c r="E4149" s="223">
        <v>631118</v>
      </c>
    </row>
    <row r="4150" spans="1:5" ht="15">
      <c r="A4150" s="223" t="s">
        <v>384</v>
      </c>
      <c r="B4150" s="223">
        <v>21</v>
      </c>
      <c r="C4150" s="223">
        <v>27</v>
      </c>
      <c r="D4150" s="223">
        <v>4</v>
      </c>
      <c r="E4150" s="223">
        <v>659355</v>
      </c>
    </row>
    <row r="4151" spans="1:5" ht="15">
      <c r="A4151" s="223" t="s">
        <v>384</v>
      </c>
      <c r="B4151" s="223">
        <v>21</v>
      </c>
      <c r="C4151" s="223">
        <v>27</v>
      </c>
      <c r="D4151" s="223">
        <v>5</v>
      </c>
      <c r="E4151" s="223">
        <v>5000</v>
      </c>
    </row>
    <row r="4152" spans="1:5" ht="15">
      <c r="A4152" s="223" t="s">
        <v>384</v>
      </c>
      <c r="B4152" s="223">
        <v>21</v>
      </c>
      <c r="C4152" s="223">
        <v>27</v>
      </c>
      <c r="D4152" s="223">
        <v>7</v>
      </c>
      <c r="E4152" s="223">
        <v>29000</v>
      </c>
    </row>
    <row r="4153" spans="1:5" ht="15">
      <c r="A4153" s="223" t="s">
        <v>384</v>
      </c>
      <c r="B4153" s="223">
        <v>21</v>
      </c>
      <c r="C4153" s="223">
        <v>31</v>
      </c>
      <c r="D4153" s="223">
        <v>2</v>
      </c>
      <c r="E4153" s="223">
        <v>16761</v>
      </c>
    </row>
    <row r="4154" spans="1:5" ht="15">
      <c r="A4154" s="223" t="s">
        <v>384</v>
      </c>
      <c r="B4154" s="223">
        <v>21</v>
      </c>
      <c r="C4154" s="223">
        <v>31</v>
      </c>
      <c r="D4154" s="223">
        <v>4</v>
      </c>
      <c r="E4154" s="223">
        <v>3865</v>
      </c>
    </row>
    <row r="4155" spans="1:5" ht="15">
      <c r="A4155" s="223" t="s">
        <v>384</v>
      </c>
      <c r="B4155" s="223">
        <v>21</v>
      </c>
      <c r="C4155" s="223">
        <v>34</v>
      </c>
      <c r="D4155" s="223">
        <v>2</v>
      </c>
      <c r="E4155" s="223">
        <v>15404</v>
      </c>
    </row>
    <row r="4156" spans="1:5" ht="15">
      <c r="A4156" s="223" t="s">
        <v>384</v>
      </c>
      <c r="B4156" s="223">
        <v>21</v>
      </c>
      <c r="C4156" s="223">
        <v>34</v>
      </c>
      <c r="D4156" s="223">
        <v>4</v>
      </c>
      <c r="E4156" s="223">
        <v>3552</v>
      </c>
    </row>
    <row r="4157" spans="1:5" ht="15">
      <c r="A4157" s="223" t="s">
        <v>384</v>
      </c>
      <c r="B4157" s="223">
        <v>24</v>
      </c>
      <c r="C4157" s="223">
        <v>26</v>
      </c>
      <c r="D4157" s="223">
        <v>2</v>
      </c>
      <c r="E4157" s="223">
        <v>141130</v>
      </c>
    </row>
    <row r="4158" spans="1:5" ht="15">
      <c r="A4158" s="223" t="s">
        <v>384</v>
      </c>
      <c r="B4158" s="223">
        <v>24</v>
      </c>
      <c r="C4158" s="223">
        <v>26</v>
      </c>
      <c r="D4158" s="223">
        <v>4</v>
      </c>
      <c r="E4158" s="223">
        <v>57336</v>
      </c>
    </row>
    <row r="4159" spans="1:5" ht="15">
      <c r="A4159" s="223" t="s">
        <v>384</v>
      </c>
      <c r="B4159" s="223">
        <v>24</v>
      </c>
      <c r="C4159" s="223">
        <v>27</v>
      </c>
      <c r="D4159" s="223">
        <v>2</v>
      </c>
      <c r="E4159" s="223">
        <v>53185</v>
      </c>
    </row>
    <row r="4160" spans="1:5" ht="15">
      <c r="A4160" s="223" t="s">
        <v>384</v>
      </c>
      <c r="B4160" s="223">
        <v>24</v>
      </c>
      <c r="C4160" s="223">
        <v>27</v>
      </c>
      <c r="D4160" s="223">
        <v>4</v>
      </c>
      <c r="E4160" s="223">
        <v>19961</v>
      </c>
    </row>
    <row r="4161" spans="1:5" ht="15">
      <c r="A4161" s="223" t="s">
        <v>384</v>
      </c>
      <c r="B4161" s="223">
        <v>24</v>
      </c>
      <c r="C4161" s="223">
        <v>27</v>
      </c>
      <c r="D4161" s="223">
        <v>5</v>
      </c>
      <c r="E4161" s="223">
        <v>4206</v>
      </c>
    </row>
    <row r="4162" spans="1:5" ht="15">
      <c r="A4162" s="223" t="s">
        <v>384</v>
      </c>
      <c r="B4162" s="223">
        <v>24</v>
      </c>
      <c r="C4162" s="223">
        <v>31</v>
      </c>
      <c r="D4162" s="223">
        <v>2</v>
      </c>
      <c r="E4162" s="223">
        <v>6477</v>
      </c>
    </row>
    <row r="4163" spans="1:5" ht="15">
      <c r="A4163" s="223" t="s">
        <v>384</v>
      </c>
      <c r="B4163" s="223">
        <v>24</v>
      </c>
      <c r="C4163" s="223">
        <v>31</v>
      </c>
      <c r="D4163" s="223">
        <v>4</v>
      </c>
      <c r="E4163" s="223">
        <v>1499</v>
      </c>
    </row>
    <row r="4164" spans="1:5" ht="15">
      <c r="A4164" s="223" t="s">
        <v>386</v>
      </c>
      <c r="B4164" s="223">
        <v>21</v>
      </c>
      <c r="C4164" s="223">
        <v>26</v>
      </c>
      <c r="D4164" s="223">
        <v>7</v>
      </c>
      <c r="E4164" s="223">
        <v>70000</v>
      </c>
    </row>
    <row r="4165" spans="1:5" ht="15">
      <c r="A4165" s="223" t="s">
        <v>386</v>
      </c>
      <c r="B4165" s="223">
        <v>21</v>
      </c>
      <c r="C4165" s="223">
        <v>27</v>
      </c>
      <c r="D4165" s="223">
        <v>2</v>
      </c>
      <c r="E4165" s="223">
        <v>132158</v>
      </c>
    </row>
    <row r="4166" spans="1:5" ht="15">
      <c r="A4166" s="223" t="s">
        <v>386</v>
      </c>
      <c r="B4166" s="223">
        <v>21</v>
      </c>
      <c r="C4166" s="223">
        <v>27</v>
      </c>
      <c r="D4166" s="223">
        <v>3</v>
      </c>
      <c r="E4166" s="223">
        <v>131897</v>
      </c>
    </row>
    <row r="4167" spans="1:5" ht="15">
      <c r="A4167" s="223" t="s">
        <v>386</v>
      </c>
      <c r="B4167" s="223">
        <v>21</v>
      </c>
      <c r="C4167" s="223">
        <v>27</v>
      </c>
      <c r="D4167" s="223">
        <v>4</v>
      </c>
      <c r="E4167" s="223">
        <v>113335</v>
      </c>
    </row>
    <row r="4168" spans="1:5" ht="15">
      <c r="A4168" s="223" t="s">
        <v>386</v>
      </c>
      <c r="B4168" s="223">
        <v>21</v>
      </c>
      <c r="C4168" s="223">
        <v>27</v>
      </c>
      <c r="D4168" s="223">
        <v>5</v>
      </c>
      <c r="E4168" s="223">
        <v>6000</v>
      </c>
    </row>
    <row r="4169" spans="1:5" ht="15">
      <c r="A4169" s="223" t="s">
        <v>386</v>
      </c>
      <c r="B4169" s="223">
        <v>21</v>
      </c>
      <c r="C4169" s="223">
        <v>27</v>
      </c>
      <c r="D4169" s="223">
        <v>7</v>
      </c>
      <c r="E4169" s="223">
        <v>50000</v>
      </c>
    </row>
    <row r="4170" spans="1:5" ht="15">
      <c r="A4170" s="223" t="s">
        <v>386</v>
      </c>
      <c r="B4170" s="223">
        <v>21</v>
      </c>
      <c r="C4170" s="223">
        <v>31</v>
      </c>
      <c r="D4170" s="223">
        <v>2</v>
      </c>
      <c r="E4170" s="223">
        <v>1910</v>
      </c>
    </row>
    <row r="4171" spans="1:5" ht="15">
      <c r="A4171" s="223" t="s">
        <v>386</v>
      </c>
      <c r="B4171" s="223">
        <v>21</v>
      </c>
      <c r="C4171" s="223">
        <v>31</v>
      </c>
      <c r="D4171" s="223">
        <v>4</v>
      </c>
      <c r="E4171" s="223">
        <v>189</v>
      </c>
    </row>
    <row r="4172" spans="1:5" ht="15">
      <c r="A4172" s="223" t="s">
        <v>386</v>
      </c>
      <c r="B4172" s="223">
        <v>21</v>
      </c>
      <c r="C4172" s="223">
        <v>31</v>
      </c>
      <c r="D4172" s="223">
        <v>7</v>
      </c>
      <c r="E4172" s="223">
        <v>2000</v>
      </c>
    </row>
    <row r="4173" spans="1:5" ht="15">
      <c r="A4173" s="223" t="s">
        <v>386</v>
      </c>
      <c r="B4173" s="223">
        <v>21</v>
      </c>
      <c r="C4173" s="223">
        <v>31</v>
      </c>
      <c r="D4173" s="223">
        <v>8</v>
      </c>
      <c r="E4173" s="223">
        <v>1000</v>
      </c>
    </row>
    <row r="4174" spans="1:5" ht="15">
      <c r="A4174" s="223" t="s">
        <v>386</v>
      </c>
      <c r="B4174" s="223">
        <v>21</v>
      </c>
      <c r="C4174" s="223">
        <v>34</v>
      </c>
      <c r="D4174" s="223">
        <v>2</v>
      </c>
      <c r="E4174" s="223">
        <v>1953</v>
      </c>
    </row>
    <row r="4175" spans="1:5" ht="15">
      <c r="A4175" s="223" t="s">
        <v>386</v>
      </c>
      <c r="B4175" s="223">
        <v>21</v>
      </c>
      <c r="C4175" s="223">
        <v>34</v>
      </c>
      <c r="D4175" s="223">
        <v>4</v>
      </c>
      <c r="E4175" s="223">
        <v>284</v>
      </c>
    </row>
    <row r="4176" spans="1:5" ht="15">
      <c r="A4176" s="223" t="s">
        <v>386</v>
      </c>
      <c r="B4176" s="223">
        <v>24</v>
      </c>
      <c r="C4176" s="223">
        <v>26</v>
      </c>
      <c r="D4176" s="223">
        <v>7</v>
      </c>
      <c r="E4176" s="223">
        <v>30000</v>
      </c>
    </row>
    <row r="4177" spans="1:5" ht="15">
      <c r="A4177" s="223" t="s">
        <v>386</v>
      </c>
      <c r="B4177" s="223">
        <v>24</v>
      </c>
      <c r="C4177" s="223">
        <v>27</v>
      </c>
      <c r="D4177" s="223">
        <v>4</v>
      </c>
      <c r="E4177" s="223">
        <v>1252</v>
      </c>
    </row>
    <row r="4178" spans="1:5" ht="15">
      <c r="A4178" s="223" t="s">
        <v>386</v>
      </c>
      <c r="B4178" s="223">
        <v>24</v>
      </c>
      <c r="C4178" s="223">
        <v>27</v>
      </c>
      <c r="D4178" s="223">
        <v>5</v>
      </c>
      <c r="E4178" s="223">
        <v>10000</v>
      </c>
    </row>
    <row r="4179" spans="1:5" ht="15">
      <c r="A4179" s="223" t="s">
        <v>936</v>
      </c>
      <c r="B4179" s="223">
        <v>21</v>
      </c>
      <c r="C4179" s="223">
        <v>21</v>
      </c>
      <c r="D4179" s="223">
        <v>2</v>
      </c>
      <c r="E4179" s="223">
        <v>105249</v>
      </c>
    </row>
    <row r="4180" spans="1:5" ht="15">
      <c r="A4180" s="223" t="s">
        <v>936</v>
      </c>
      <c r="B4180" s="223">
        <v>21</v>
      </c>
      <c r="C4180" s="223">
        <v>21</v>
      </c>
      <c r="D4180" s="223">
        <v>4</v>
      </c>
      <c r="E4180" s="223">
        <v>24207</v>
      </c>
    </row>
    <row r="4181" spans="1:5" ht="15">
      <c r="A4181" s="223" t="s">
        <v>936</v>
      </c>
      <c r="B4181" s="223">
        <v>21</v>
      </c>
      <c r="C4181" s="223">
        <v>24</v>
      </c>
      <c r="D4181" s="223">
        <v>2</v>
      </c>
      <c r="E4181" s="223">
        <v>112503</v>
      </c>
    </row>
    <row r="4182" spans="1:5" ht="15">
      <c r="A4182" s="223" t="s">
        <v>936</v>
      </c>
      <c r="B4182" s="223">
        <v>21</v>
      </c>
      <c r="C4182" s="223">
        <v>26</v>
      </c>
      <c r="D4182" s="223">
        <v>5</v>
      </c>
      <c r="E4182" s="223">
        <v>10000</v>
      </c>
    </row>
    <row r="4183" spans="1:5" ht="15">
      <c r="A4183" s="223" t="s">
        <v>936</v>
      </c>
      <c r="B4183" s="223">
        <v>21</v>
      </c>
      <c r="C4183" s="223">
        <v>26</v>
      </c>
      <c r="D4183" s="223">
        <v>7</v>
      </c>
      <c r="E4183" s="223">
        <v>150000</v>
      </c>
    </row>
    <row r="4184" spans="1:5" ht="15">
      <c r="A4184" s="223" t="s">
        <v>936</v>
      </c>
      <c r="B4184" s="223">
        <v>21</v>
      </c>
      <c r="C4184" s="223">
        <v>27</v>
      </c>
      <c r="D4184" s="223">
        <v>2</v>
      </c>
      <c r="E4184" s="223">
        <v>121922</v>
      </c>
    </row>
    <row r="4185" spans="1:5" ht="15">
      <c r="A4185" s="223" t="s">
        <v>936</v>
      </c>
      <c r="B4185" s="223">
        <v>21</v>
      </c>
      <c r="C4185" s="223">
        <v>27</v>
      </c>
      <c r="D4185" s="223">
        <v>3</v>
      </c>
      <c r="E4185" s="223">
        <v>42000</v>
      </c>
    </row>
    <row r="4186" spans="1:5" ht="15">
      <c r="A4186" s="223" t="s">
        <v>936</v>
      </c>
      <c r="B4186" s="223">
        <v>21</v>
      </c>
      <c r="C4186" s="223">
        <v>27</v>
      </c>
      <c r="D4186" s="223">
        <v>4</v>
      </c>
      <c r="E4186" s="223">
        <v>121596</v>
      </c>
    </row>
    <row r="4187" spans="1:5" ht="15">
      <c r="A4187" s="223" t="s">
        <v>936</v>
      </c>
      <c r="B4187" s="223">
        <v>24</v>
      </c>
      <c r="C4187" s="223">
        <v>27</v>
      </c>
      <c r="D4187" s="223">
        <v>2</v>
      </c>
      <c r="E4187" s="223">
        <v>76270</v>
      </c>
    </row>
    <row r="4188" spans="1:5" ht="15">
      <c r="A4188" s="223" t="s">
        <v>936</v>
      </c>
      <c r="B4188" s="223">
        <v>24</v>
      </c>
      <c r="C4188" s="223">
        <v>27</v>
      </c>
      <c r="D4188" s="223">
        <v>4</v>
      </c>
      <c r="E4188" s="223">
        <v>29854</v>
      </c>
    </row>
    <row r="4189" spans="1:5" ht="15">
      <c r="A4189" s="223" t="s">
        <v>348</v>
      </c>
      <c r="B4189" s="223">
        <v>21</v>
      </c>
      <c r="C4189" s="223">
        <v>21</v>
      </c>
      <c r="D4189" s="223">
        <v>2</v>
      </c>
      <c r="E4189" s="223">
        <v>115984</v>
      </c>
    </row>
    <row r="4190" spans="1:5" ht="15">
      <c r="A4190" s="223" t="s">
        <v>348</v>
      </c>
      <c r="B4190" s="223">
        <v>21</v>
      </c>
      <c r="C4190" s="223">
        <v>21</v>
      </c>
      <c r="D4190" s="223">
        <v>3</v>
      </c>
      <c r="E4190" s="223">
        <v>104516</v>
      </c>
    </row>
    <row r="4191" spans="1:5" ht="15">
      <c r="A4191" s="223" t="s">
        <v>348</v>
      </c>
      <c r="B4191" s="223">
        <v>21</v>
      </c>
      <c r="C4191" s="223">
        <v>21</v>
      </c>
      <c r="D4191" s="223">
        <v>4</v>
      </c>
      <c r="E4191" s="223">
        <v>92936</v>
      </c>
    </row>
    <row r="4192" spans="1:5" ht="15">
      <c r="A4192" s="223" t="s">
        <v>348</v>
      </c>
      <c r="B4192" s="223">
        <v>21</v>
      </c>
      <c r="C4192" s="223">
        <v>21</v>
      </c>
      <c r="D4192" s="223">
        <v>5</v>
      </c>
      <c r="E4192" s="223">
        <v>2000</v>
      </c>
    </row>
    <row r="4193" spans="1:5" ht="15">
      <c r="A4193" s="223" t="s">
        <v>348</v>
      </c>
      <c r="B4193" s="223">
        <v>21</v>
      </c>
      <c r="C4193" s="223">
        <v>21</v>
      </c>
      <c r="D4193" s="223">
        <v>7</v>
      </c>
      <c r="E4193" s="223">
        <v>6500</v>
      </c>
    </row>
    <row r="4194" spans="1:5" ht="15">
      <c r="A4194" s="223" t="s">
        <v>348</v>
      </c>
      <c r="B4194" s="223">
        <v>21</v>
      </c>
      <c r="C4194" s="223">
        <v>21</v>
      </c>
      <c r="D4194" s="223">
        <v>8</v>
      </c>
      <c r="E4194" s="223">
        <v>800</v>
      </c>
    </row>
    <row r="4195" spans="1:5" ht="15">
      <c r="A4195" s="223" t="s">
        <v>348</v>
      </c>
      <c r="B4195" s="223">
        <v>21</v>
      </c>
      <c r="C4195" s="223">
        <v>26</v>
      </c>
      <c r="D4195" s="223">
        <v>2</v>
      </c>
      <c r="E4195" s="223">
        <v>227357</v>
      </c>
    </row>
    <row r="4196" spans="1:5" ht="15">
      <c r="A4196" s="223" t="s">
        <v>348</v>
      </c>
      <c r="B4196" s="223">
        <v>21</v>
      </c>
      <c r="C4196" s="223">
        <v>26</v>
      </c>
      <c r="D4196" s="223">
        <v>3</v>
      </c>
      <c r="E4196" s="223">
        <v>129418</v>
      </c>
    </row>
    <row r="4197" spans="1:5" ht="15">
      <c r="A4197" s="223" t="s">
        <v>348</v>
      </c>
      <c r="B4197" s="223">
        <v>21</v>
      </c>
      <c r="C4197" s="223">
        <v>26</v>
      </c>
      <c r="D4197" s="223">
        <v>4</v>
      </c>
      <c r="E4197" s="223">
        <v>159171</v>
      </c>
    </row>
    <row r="4198" spans="1:5" ht="15">
      <c r="A4198" s="223" t="s">
        <v>348</v>
      </c>
      <c r="B4198" s="223">
        <v>21</v>
      </c>
      <c r="C4198" s="223">
        <v>26</v>
      </c>
      <c r="D4198" s="223">
        <v>7</v>
      </c>
      <c r="E4198" s="223">
        <v>504987</v>
      </c>
    </row>
    <row r="4199" spans="1:5" ht="15">
      <c r="A4199" s="223" t="s">
        <v>348</v>
      </c>
      <c r="B4199" s="223">
        <v>21</v>
      </c>
      <c r="C4199" s="223">
        <v>27</v>
      </c>
      <c r="D4199" s="223">
        <v>2</v>
      </c>
      <c r="E4199" s="223">
        <v>1101457</v>
      </c>
    </row>
    <row r="4200" spans="1:5" ht="15">
      <c r="A4200" s="223" t="s">
        <v>348</v>
      </c>
      <c r="B4200" s="223">
        <v>21</v>
      </c>
      <c r="C4200" s="223">
        <v>27</v>
      </c>
      <c r="D4200" s="223">
        <v>3</v>
      </c>
      <c r="E4200" s="223">
        <v>668614</v>
      </c>
    </row>
    <row r="4201" spans="1:5" ht="15">
      <c r="A4201" s="223" t="s">
        <v>348</v>
      </c>
      <c r="B4201" s="223">
        <v>21</v>
      </c>
      <c r="C4201" s="223">
        <v>27</v>
      </c>
      <c r="D4201" s="223">
        <v>4</v>
      </c>
      <c r="E4201" s="223">
        <v>905866</v>
      </c>
    </row>
    <row r="4202" spans="1:5" ht="15">
      <c r="A4202" s="223" t="s">
        <v>348</v>
      </c>
      <c r="B4202" s="223">
        <v>21</v>
      </c>
      <c r="C4202" s="223">
        <v>27</v>
      </c>
      <c r="D4202" s="223">
        <v>5</v>
      </c>
      <c r="E4202" s="223">
        <v>15000</v>
      </c>
    </row>
    <row r="4203" spans="1:5" ht="15">
      <c r="A4203" s="223" t="s">
        <v>348</v>
      </c>
      <c r="B4203" s="223">
        <v>21</v>
      </c>
      <c r="C4203" s="223">
        <v>27</v>
      </c>
      <c r="D4203" s="223">
        <v>7</v>
      </c>
      <c r="E4203" s="223">
        <v>15000</v>
      </c>
    </row>
    <row r="4204" spans="1:5" ht="15">
      <c r="A4204" s="223" t="s">
        <v>348</v>
      </c>
      <c r="B4204" s="223">
        <v>21</v>
      </c>
      <c r="C4204" s="223">
        <v>27</v>
      </c>
      <c r="D4204" s="223">
        <v>8</v>
      </c>
      <c r="E4204" s="223">
        <v>200</v>
      </c>
    </row>
    <row r="4205" spans="1:5" ht="15">
      <c r="A4205" s="223" t="s">
        <v>348</v>
      </c>
      <c r="B4205" s="223">
        <v>21</v>
      </c>
      <c r="C4205" s="223">
        <v>31</v>
      </c>
      <c r="D4205" s="223">
        <v>2</v>
      </c>
      <c r="E4205" s="223">
        <v>6911</v>
      </c>
    </row>
    <row r="4206" spans="1:5" ht="15">
      <c r="A4206" s="223" t="s">
        <v>348</v>
      </c>
      <c r="B4206" s="223">
        <v>21</v>
      </c>
      <c r="C4206" s="223">
        <v>31</v>
      </c>
      <c r="D4206" s="223">
        <v>4</v>
      </c>
      <c r="E4206" s="223">
        <v>1588</v>
      </c>
    </row>
    <row r="4207" spans="1:5" ht="15">
      <c r="A4207" s="223" t="s">
        <v>348</v>
      </c>
      <c r="B4207" s="223">
        <v>21</v>
      </c>
      <c r="C4207" s="223">
        <v>34</v>
      </c>
      <c r="D4207" s="223">
        <v>2</v>
      </c>
      <c r="E4207" s="223">
        <v>20730</v>
      </c>
    </row>
    <row r="4208" spans="1:5" ht="15">
      <c r="A4208" s="223" t="s">
        <v>348</v>
      </c>
      <c r="B4208" s="223">
        <v>21</v>
      </c>
      <c r="C4208" s="223">
        <v>34</v>
      </c>
      <c r="D4208" s="223">
        <v>4</v>
      </c>
      <c r="E4208" s="223">
        <v>4769</v>
      </c>
    </row>
    <row r="4209" spans="1:5" ht="15">
      <c r="A4209" s="223" t="s">
        <v>348</v>
      </c>
      <c r="B4209" s="223">
        <v>24</v>
      </c>
      <c r="C4209" s="223">
        <v>27</v>
      </c>
      <c r="D4209" s="223">
        <v>3</v>
      </c>
      <c r="E4209" s="223">
        <v>247172</v>
      </c>
    </row>
    <row r="4210" spans="1:5" ht="15">
      <c r="A4210" s="223" t="s">
        <v>348</v>
      </c>
      <c r="B4210" s="223">
        <v>24</v>
      </c>
      <c r="C4210" s="223">
        <v>27</v>
      </c>
      <c r="D4210" s="223">
        <v>4</v>
      </c>
      <c r="E4210" s="223">
        <v>168961</v>
      </c>
    </row>
    <row r="4211" spans="1:5" ht="15">
      <c r="A4211" s="223" t="s">
        <v>348</v>
      </c>
      <c r="B4211" s="223">
        <v>24</v>
      </c>
      <c r="C4211" s="223">
        <v>27</v>
      </c>
      <c r="D4211" s="223">
        <v>5</v>
      </c>
      <c r="E4211" s="223">
        <v>15011</v>
      </c>
    </row>
    <row r="4212" spans="1:5" ht="15">
      <c r="A4212" s="223" t="s">
        <v>348</v>
      </c>
      <c r="B4212" s="223">
        <v>24</v>
      </c>
      <c r="C4212" s="223">
        <v>27</v>
      </c>
      <c r="D4212" s="223">
        <v>7</v>
      </c>
      <c r="E4212" s="223">
        <v>85000</v>
      </c>
    </row>
    <row r="4213" spans="1:5" ht="15">
      <c r="A4213" s="223" t="s">
        <v>348</v>
      </c>
      <c r="B4213" s="223">
        <v>24</v>
      </c>
      <c r="C4213" s="223">
        <v>27</v>
      </c>
      <c r="D4213" s="223">
        <v>8</v>
      </c>
      <c r="E4213" s="223">
        <v>2145</v>
      </c>
    </row>
    <row r="4214" spans="1:5" ht="15">
      <c r="A4214" s="223" t="s">
        <v>1518</v>
      </c>
      <c r="B4214" s="223">
        <v>21</v>
      </c>
      <c r="C4214" s="223">
        <v>26</v>
      </c>
      <c r="D4214" s="223">
        <v>5</v>
      </c>
      <c r="E4214" s="223">
        <v>3377</v>
      </c>
    </row>
    <row r="4215" spans="1:5" ht="15">
      <c r="A4215" s="223" t="s">
        <v>1518</v>
      </c>
      <c r="B4215" s="223">
        <v>21</v>
      </c>
      <c r="C4215" s="223">
        <v>26</v>
      </c>
      <c r="D4215" s="223">
        <v>7</v>
      </c>
      <c r="E4215" s="223">
        <v>50151</v>
      </c>
    </row>
    <row r="4216" spans="1:5" ht="15">
      <c r="A4216" s="223" t="s">
        <v>1518</v>
      </c>
      <c r="B4216" s="223">
        <v>21</v>
      </c>
      <c r="C4216" s="223">
        <v>27</v>
      </c>
      <c r="D4216" s="223">
        <v>2</v>
      </c>
      <c r="E4216" s="223">
        <v>66046</v>
      </c>
    </row>
    <row r="4217" spans="1:5" ht="15">
      <c r="A4217" s="223" t="s">
        <v>1518</v>
      </c>
      <c r="B4217" s="223">
        <v>21</v>
      </c>
      <c r="C4217" s="223">
        <v>27</v>
      </c>
      <c r="D4217" s="223">
        <v>3</v>
      </c>
      <c r="E4217" s="223">
        <v>31221</v>
      </c>
    </row>
    <row r="4218" spans="1:5" ht="15">
      <c r="A4218" s="223" t="s">
        <v>1518</v>
      </c>
      <c r="B4218" s="223">
        <v>21</v>
      </c>
      <c r="C4218" s="223">
        <v>27</v>
      </c>
      <c r="D4218" s="223">
        <v>4</v>
      </c>
      <c r="E4218" s="223">
        <v>52899</v>
      </c>
    </row>
    <row r="4219" spans="1:5" ht="15">
      <c r="A4219" s="223" t="s">
        <v>1518</v>
      </c>
      <c r="B4219" s="223">
        <v>24</v>
      </c>
      <c r="C4219" s="223">
        <v>27</v>
      </c>
      <c r="D4219" s="223">
        <v>2</v>
      </c>
      <c r="E4219" s="223">
        <v>12000</v>
      </c>
    </row>
    <row r="4220" spans="1:5" ht="15">
      <c r="A4220" s="223" t="s">
        <v>1518</v>
      </c>
      <c r="B4220" s="223">
        <v>24</v>
      </c>
      <c r="C4220" s="223">
        <v>27</v>
      </c>
      <c r="D4220" s="223">
        <v>4</v>
      </c>
      <c r="E4220" s="223">
        <v>2900</v>
      </c>
    </row>
    <row r="4221" spans="1:5" ht="15">
      <c r="A4221" s="223" t="s">
        <v>350</v>
      </c>
      <c r="B4221" s="223">
        <v>21</v>
      </c>
      <c r="C4221" s="223">
        <v>21</v>
      </c>
      <c r="D4221" s="223">
        <v>2</v>
      </c>
      <c r="E4221" s="223">
        <v>181727</v>
      </c>
    </row>
    <row r="4222" spans="1:5" ht="15">
      <c r="A4222" s="223" t="s">
        <v>350</v>
      </c>
      <c r="B4222" s="223">
        <v>21</v>
      </c>
      <c r="C4222" s="223">
        <v>21</v>
      </c>
      <c r="D4222" s="223">
        <v>3</v>
      </c>
      <c r="E4222" s="223">
        <v>73220</v>
      </c>
    </row>
    <row r="4223" spans="1:5" ht="15">
      <c r="A4223" s="223" t="s">
        <v>350</v>
      </c>
      <c r="B4223" s="223">
        <v>21</v>
      </c>
      <c r="C4223" s="223">
        <v>21</v>
      </c>
      <c r="D4223" s="223">
        <v>4</v>
      </c>
      <c r="E4223" s="223">
        <v>85686</v>
      </c>
    </row>
    <row r="4224" spans="1:5" ht="15">
      <c r="A4224" s="223" t="s">
        <v>350</v>
      </c>
      <c r="B4224" s="223">
        <v>21</v>
      </c>
      <c r="C4224" s="223">
        <v>21</v>
      </c>
      <c r="D4224" s="223">
        <v>5</v>
      </c>
      <c r="E4224" s="223">
        <v>1000</v>
      </c>
    </row>
    <row r="4225" spans="1:5" ht="15">
      <c r="A4225" s="223" t="s">
        <v>350</v>
      </c>
      <c r="B4225" s="223">
        <v>21</v>
      </c>
      <c r="C4225" s="223">
        <v>21</v>
      </c>
      <c r="D4225" s="223">
        <v>7</v>
      </c>
      <c r="E4225" s="223">
        <v>500</v>
      </c>
    </row>
    <row r="4226" spans="1:5" ht="15">
      <c r="A4226" s="223" t="s">
        <v>350</v>
      </c>
      <c r="B4226" s="223">
        <v>21</v>
      </c>
      <c r="C4226" s="223">
        <v>21</v>
      </c>
      <c r="D4226" s="223">
        <v>8</v>
      </c>
      <c r="E4226" s="223">
        <v>500</v>
      </c>
    </row>
    <row r="4227" spans="1:5" ht="15">
      <c r="A4227" s="223" t="s">
        <v>350</v>
      </c>
      <c r="B4227" s="223">
        <v>21</v>
      </c>
      <c r="C4227" s="223">
        <v>25</v>
      </c>
      <c r="D4227" s="223">
        <v>3</v>
      </c>
      <c r="E4227" s="223">
        <v>53115</v>
      </c>
    </row>
    <row r="4228" spans="1:5" ht="15">
      <c r="A4228" s="223" t="s">
        <v>350</v>
      </c>
      <c r="B4228" s="223">
        <v>21</v>
      </c>
      <c r="C4228" s="223">
        <v>25</v>
      </c>
      <c r="D4228" s="223">
        <v>4</v>
      </c>
      <c r="E4228" s="223">
        <v>34353</v>
      </c>
    </row>
    <row r="4229" spans="1:5" ht="15">
      <c r="A4229" s="223" t="s">
        <v>350</v>
      </c>
      <c r="B4229" s="223">
        <v>21</v>
      </c>
      <c r="C4229" s="223">
        <v>26</v>
      </c>
      <c r="D4229" s="223">
        <v>2</v>
      </c>
      <c r="E4229" s="223">
        <v>710254</v>
      </c>
    </row>
    <row r="4230" spans="1:5" ht="15">
      <c r="A4230" s="223" t="s">
        <v>350</v>
      </c>
      <c r="B4230" s="223">
        <v>21</v>
      </c>
      <c r="C4230" s="223">
        <v>26</v>
      </c>
      <c r="D4230" s="223">
        <v>4</v>
      </c>
      <c r="E4230" s="223">
        <v>282663</v>
      </c>
    </row>
    <row r="4231" spans="1:5" ht="15">
      <c r="A4231" s="223" t="s">
        <v>350</v>
      </c>
      <c r="B4231" s="223">
        <v>21</v>
      </c>
      <c r="C4231" s="223">
        <v>26</v>
      </c>
      <c r="D4231" s="223">
        <v>5</v>
      </c>
      <c r="E4231" s="223">
        <v>2500</v>
      </c>
    </row>
    <row r="4232" spans="1:5" ht="15">
      <c r="A4232" s="223" t="s">
        <v>350</v>
      </c>
      <c r="B4232" s="223">
        <v>21</v>
      </c>
      <c r="C4232" s="223">
        <v>26</v>
      </c>
      <c r="D4232" s="223">
        <v>7</v>
      </c>
      <c r="E4232" s="223">
        <v>5000</v>
      </c>
    </row>
    <row r="4233" spans="1:5" ht="15">
      <c r="A4233" s="223" t="s">
        <v>350</v>
      </c>
      <c r="B4233" s="223">
        <v>21</v>
      </c>
      <c r="C4233" s="223">
        <v>27</v>
      </c>
      <c r="D4233" s="223">
        <v>0</v>
      </c>
      <c r="E4233" s="223">
        <v>1700</v>
      </c>
    </row>
    <row r="4234" spans="1:5" ht="15">
      <c r="A4234" s="223" t="s">
        <v>350</v>
      </c>
      <c r="B4234" s="223">
        <v>21</v>
      </c>
      <c r="C4234" s="223">
        <v>27</v>
      </c>
      <c r="D4234" s="223">
        <v>2</v>
      </c>
      <c r="E4234" s="223">
        <v>849583</v>
      </c>
    </row>
    <row r="4235" spans="1:5" ht="15">
      <c r="A4235" s="223" t="s">
        <v>350</v>
      </c>
      <c r="B4235" s="223">
        <v>21</v>
      </c>
      <c r="C4235" s="223">
        <v>27</v>
      </c>
      <c r="D4235" s="223">
        <v>3</v>
      </c>
      <c r="E4235" s="223">
        <v>601554</v>
      </c>
    </row>
    <row r="4236" spans="1:5" ht="15">
      <c r="A4236" s="223" t="s">
        <v>350</v>
      </c>
      <c r="B4236" s="223">
        <v>21</v>
      </c>
      <c r="C4236" s="223">
        <v>27</v>
      </c>
      <c r="D4236" s="223">
        <v>4</v>
      </c>
      <c r="E4236" s="223">
        <v>725034</v>
      </c>
    </row>
    <row r="4237" spans="1:5" ht="15">
      <c r="A4237" s="223" t="s">
        <v>350</v>
      </c>
      <c r="B4237" s="223">
        <v>21</v>
      </c>
      <c r="C4237" s="223">
        <v>27</v>
      </c>
      <c r="D4237" s="223">
        <v>5</v>
      </c>
      <c r="E4237" s="223">
        <v>6700</v>
      </c>
    </row>
    <row r="4238" spans="1:5" ht="15">
      <c r="A4238" s="223" t="s">
        <v>350</v>
      </c>
      <c r="B4238" s="223">
        <v>21</v>
      </c>
      <c r="C4238" s="223">
        <v>27</v>
      </c>
      <c r="D4238" s="223">
        <v>7</v>
      </c>
      <c r="E4238" s="223">
        <v>3500</v>
      </c>
    </row>
    <row r="4239" spans="1:5" ht="15">
      <c r="A4239" s="223" t="s">
        <v>350</v>
      </c>
      <c r="B4239" s="223">
        <v>21</v>
      </c>
      <c r="C4239" s="223">
        <v>27</v>
      </c>
      <c r="D4239" s="223">
        <v>8</v>
      </c>
      <c r="E4239" s="223">
        <v>500</v>
      </c>
    </row>
    <row r="4240" spans="1:5" ht="15">
      <c r="A4240" s="223" t="s">
        <v>350</v>
      </c>
      <c r="B4240" s="223">
        <v>21</v>
      </c>
      <c r="C4240" s="223">
        <v>31</v>
      </c>
      <c r="D4240" s="223">
        <v>2</v>
      </c>
      <c r="E4240" s="223">
        <v>38177</v>
      </c>
    </row>
    <row r="4241" spans="1:5" ht="15">
      <c r="A4241" s="223" t="s">
        <v>350</v>
      </c>
      <c r="B4241" s="223">
        <v>21</v>
      </c>
      <c r="C4241" s="223">
        <v>31</v>
      </c>
      <c r="D4241" s="223">
        <v>3</v>
      </c>
      <c r="E4241" s="223">
        <v>1000</v>
      </c>
    </row>
    <row r="4242" spans="1:5" ht="15">
      <c r="A4242" s="223" t="s">
        <v>350</v>
      </c>
      <c r="B4242" s="223">
        <v>21</v>
      </c>
      <c r="C4242" s="223">
        <v>31</v>
      </c>
      <c r="D4242" s="223">
        <v>4</v>
      </c>
      <c r="E4242" s="223">
        <v>9111</v>
      </c>
    </row>
    <row r="4243" spans="1:5" ht="15">
      <c r="A4243" s="223" t="s">
        <v>350</v>
      </c>
      <c r="B4243" s="223">
        <v>21</v>
      </c>
      <c r="C4243" s="223">
        <v>31</v>
      </c>
      <c r="D4243" s="223">
        <v>5</v>
      </c>
      <c r="E4243" s="223">
        <v>200</v>
      </c>
    </row>
    <row r="4244" spans="1:5" ht="15">
      <c r="A4244" s="223" t="s">
        <v>350</v>
      </c>
      <c r="B4244" s="223">
        <v>21</v>
      </c>
      <c r="C4244" s="223">
        <v>31</v>
      </c>
      <c r="D4244" s="223">
        <v>8</v>
      </c>
      <c r="E4244" s="223">
        <v>500</v>
      </c>
    </row>
    <row r="4245" spans="1:5" ht="15">
      <c r="A4245" s="223" t="s">
        <v>350</v>
      </c>
      <c r="B4245" s="223">
        <v>21</v>
      </c>
      <c r="C4245" s="223">
        <v>32</v>
      </c>
      <c r="D4245" s="223">
        <v>5</v>
      </c>
      <c r="E4245" s="223">
        <v>600</v>
      </c>
    </row>
    <row r="4246" spans="1:5" ht="15">
      <c r="A4246" s="223" t="s">
        <v>350</v>
      </c>
      <c r="B4246" s="223">
        <v>21</v>
      </c>
      <c r="C4246" s="223">
        <v>34</v>
      </c>
      <c r="D4246" s="223">
        <v>2</v>
      </c>
      <c r="E4246" s="223">
        <v>27882</v>
      </c>
    </row>
    <row r="4247" spans="1:5" ht="15">
      <c r="A4247" s="223" t="s">
        <v>350</v>
      </c>
      <c r="B4247" s="223">
        <v>21</v>
      </c>
      <c r="C4247" s="223">
        <v>34</v>
      </c>
      <c r="D4247" s="223">
        <v>4</v>
      </c>
      <c r="E4247" s="223">
        <v>6270</v>
      </c>
    </row>
    <row r="4248" spans="1:5" ht="15">
      <c r="A4248" s="223" t="s">
        <v>350</v>
      </c>
      <c r="B4248" s="223">
        <v>23</v>
      </c>
      <c r="C4248" s="223">
        <v>27</v>
      </c>
      <c r="D4248" s="223">
        <v>3</v>
      </c>
      <c r="E4248" s="223">
        <v>48532</v>
      </c>
    </row>
    <row r="4249" spans="1:5" ht="15">
      <c r="A4249" s="223" t="s">
        <v>350</v>
      </c>
      <c r="B4249" s="223">
        <v>23</v>
      </c>
      <c r="C4249" s="223">
        <v>27</v>
      </c>
      <c r="D4249" s="223">
        <v>4</v>
      </c>
      <c r="E4249" s="223">
        <v>26386</v>
      </c>
    </row>
    <row r="4250" spans="1:5" ht="15">
      <c r="A4250" s="223" t="s">
        <v>350</v>
      </c>
      <c r="B4250" s="223">
        <v>23</v>
      </c>
      <c r="C4250" s="223">
        <v>27</v>
      </c>
      <c r="D4250" s="223">
        <v>5</v>
      </c>
      <c r="E4250" s="223">
        <v>6955</v>
      </c>
    </row>
    <row r="4251" spans="1:5" ht="15">
      <c r="A4251" s="223" t="s">
        <v>350</v>
      </c>
      <c r="B4251" s="223">
        <v>23</v>
      </c>
      <c r="C4251" s="223">
        <v>27</v>
      </c>
      <c r="D4251" s="223">
        <v>7</v>
      </c>
      <c r="E4251" s="223">
        <v>9901</v>
      </c>
    </row>
    <row r="4252" spans="1:5" ht="15">
      <c r="A4252" s="223" t="s">
        <v>350</v>
      </c>
      <c r="B4252" s="223">
        <v>23</v>
      </c>
      <c r="C4252" s="223">
        <v>31</v>
      </c>
      <c r="D4252" s="223">
        <v>5</v>
      </c>
      <c r="E4252" s="223">
        <v>3876</v>
      </c>
    </row>
    <row r="4253" spans="1:5" ht="15">
      <c r="A4253" s="223" t="s">
        <v>350</v>
      </c>
      <c r="B4253" s="223">
        <v>24</v>
      </c>
      <c r="C4253" s="223">
        <v>26</v>
      </c>
      <c r="D4253" s="223">
        <v>8</v>
      </c>
      <c r="E4253" s="223">
        <v>7102</v>
      </c>
    </row>
    <row r="4254" spans="1:5" ht="15">
      <c r="A4254" s="223" t="s">
        <v>350</v>
      </c>
      <c r="B4254" s="223">
        <v>24</v>
      </c>
      <c r="C4254" s="223">
        <v>27</v>
      </c>
      <c r="D4254" s="223">
        <v>2</v>
      </c>
      <c r="E4254" s="223">
        <v>278705</v>
      </c>
    </row>
    <row r="4255" spans="1:5" ht="15">
      <c r="A4255" s="223" t="s">
        <v>350</v>
      </c>
      <c r="B4255" s="223">
        <v>24</v>
      </c>
      <c r="C4255" s="223">
        <v>27</v>
      </c>
      <c r="D4255" s="223">
        <v>3</v>
      </c>
      <c r="E4255" s="223">
        <v>3700</v>
      </c>
    </row>
    <row r="4256" spans="1:5" ht="15">
      <c r="A4256" s="223" t="s">
        <v>350</v>
      </c>
      <c r="B4256" s="223">
        <v>24</v>
      </c>
      <c r="C4256" s="223">
        <v>27</v>
      </c>
      <c r="D4256" s="223">
        <v>4</v>
      </c>
      <c r="E4256" s="223">
        <v>116583</v>
      </c>
    </row>
    <row r="4257" spans="1:5" ht="15">
      <c r="A4257" s="223" t="s">
        <v>350</v>
      </c>
      <c r="B4257" s="223">
        <v>24</v>
      </c>
      <c r="C4257" s="223">
        <v>27</v>
      </c>
      <c r="D4257" s="223">
        <v>5</v>
      </c>
      <c r="E4257" s="223">
        <v>5077</v>
      </c>
    </row>
    <row r="4258" spans="1:5" ht="15">
      <c r="A4258" s="223" t="s">
        <v>350</v>
      </c>
      <c r="B4258" s="223">
        <v>24</v>
      </c>
      <c r="C4258" s="223">
        <v>27</v>
      </c>
      <c r="D4258" s="223">
        <v>7</v>
      </c>
      <c r="E4258" s="223">
        <v>8851</v>
      </c>
    </row>
    <row r="4259" spans="1:5" ht="15">
      <c r="A4259" s="223" t="s">
        <v>350</v>
      </c>
      <c r="B4259" s="223">
        <v>24</v>
      </c>
      <c r="C4259" s="223">
        <v>31</v>
      </c>
      <c r="D4259" s="223">
        <v>2</v>
      </c>
      <c r="E4259" s="223">
        <v>12204</v>
      </c>
    </row>
    <row r="4260" spans="1:5" ht="15">
      <c r="A4260" s="223" t="s">
        <v>350</v>
      </c>
      <c r="B4260" s="223">
        <v>24</v>
      </c>
      <c r="C4260" s="223">
        <v>31</v>
      </c>
      <c r="D4260" s="223">
        <v>3</v>
      </c>
      <c r="E4260" s="223">
        <v>2000</v>
      </c>
    </row>
    <row r="4261" spans="1:5" ht="15">
      <c r="A4261" s="223" t="s">
        <v>350</v>
      </c>
      <c r="B4261" s="223">
        <v>24</v>
      </c>
      <c r="C4261" s="223">
        <v>31</v>
      </c>
      <c r="D4261" s="223">
        <v>4</v>
      </c>
      <c r="E4261" s="223">
        <v>3241</v>
      </c>
    </row>
    <row r="4262" spans="1:5" ht="15">
      <c r="A4262" s="223" t="s">
        <v>350</v>
      </c>
      <c r="B4262" s="223">
        <v>24</v>
      </c>
      <c r="C4262" s="223">
        <v>31</v>
      </c>
      <c r="D4262" s="223">
        <v>5</v>
      </c>
      <c r="E4262" s="223">
        <v>4999</v>
      </c>
    </row>
    <row r="4263" spans="1:5" ht="15">
      <c r="A4263" s="223" t="s">
        <v>350</v>
      </c>
      <c r="B4263" s="223">
        <v>24</v>
      </c>
      <c r="C4263" s="223">
        <v>31</v>
      </c>
      <c r="D4263" s="223">
        <v>8</v>
      </c>
      <c r="E4263" s="223">
        <v>5500</v>
      </c>
    </row>
    <row r="4264" spans="1:5" ht="15">
      <c r="A4264" s="223" t="s">
        <v>350</v>
      </c>
      <c r="B4264" s="223">
        <v>24</v>
      </c>
      <c r="C4264" s="223">
        <v>32</v>
      </c>
      <c r="D4264" s="223">
        <v>5</v>
      </c>
      <c r="E4264" s="223">
        <v>6000</v>
      </c>
    </row>
    <row r="4265" spans="1:5" ht="15">
      <c r="A4265" s="223" t="s">
        <v>350</v>
      </c>
      <c r="B4265" s="223">
        <v>24</v>
      </c>
      <c r="C4265" s="223">
        <v>33</v>
      </c>
      <c r="D4265" s="223">
        <v>5</v>
      </c>
      <c r="E4265" s="223">
        <v>3000</v>
      </c>
    </row>
    <row r="4266" spans="1:5" ht="15">
      <c r="A4266" s="223" t="s">
        <v>352</v>
      </c>
      <c r="B4266" s="223">
        <v>21</v>
      </c>
      <c r="C4266" s="223">
        <v>21</v>
      </c>
      <c r="D4266" s="223">
        <v>2</v>
      </c>
      <c r="E4266" s="223">
        <v>1049108</v>
      </c>
    </row>
    <row r="4267" spans="1:5" ht="15">
      <c r="A4267" s="223" t="s">
        <v>352</v>
      </c>
      <c r="B4267" s="223">
        <v>21</v>
      </c>
      <c r="C4267" s="223">
        <v>21</v>
      </c>
      <c r="D4267" s="223">
        <v>3</v>
      </c>
      <c r="E4267" s="223">
        <v>530927</v>
      </c>
    </row>
    <row r="4268" spans="1:5" ht="15">
      <c r="A4268" s="223" t="s">
        <v>352</v>
      </c>
      <c r="B4268" s="223">
        <v>21</v>
      </c>
      <c r="C4268" s="223">
        <v>21</v>
      </c>
      <c r="D4268" s="223">
        <v>4</v>
      </c>
      <c r="E4268" s="223">
        <v>515413</v>
      </c>
    </row>
    <row r="4269" spans="1:5" ht="15">
      <c r="A4269" s="223" t="s">
        <v>352</v>
      </c>
      <c r="B4269" s="223">
        <v>21</v>
      </c>
      <c r="C4269" s="223">
        <v>24</v>
      </c>
      <c r="D4269" s="223">
        <v>2</v>
      </c>
      <c r="E4269" s="223">
        <v>227574</v>
      </c>
    </row>
    <row r="4270" spans="1:5" ht="15">
      <c r="A4270" s="223" t="s">
        <v>352</v>
      </c>
      <c r="B4270" s="223">
        <v>21</v>
      </c>
      <c r="C4270" s="223">
        <v>24</v>
      </c>
      <c r="D4270" s="223">
        <v>3</v>
      </c>
      <c r="E4270" s="223">
        <v>95904</v>
      </c>
    </row>
    <row r="4271" spans="1:5" ht="15">
      <c r="A4271" s="223" t="s">
        <v>352</v>
      </c>
      <c r="B4271" s="223">
        <v>21</v>
      </c>
      <c r="C4271" s="223">
        <v>24</v>
      </c>
      <c r="D4271" s="223">
        <v>4</v>
      </c>
      <c r="E4271" s="223">
        <v>121580</v>
      </c>
    </row>
    <row r="4272" spans="1:5" ht="15">
      <c r="A4272" s="223" t="s">
        <v>352</v>
      </c>
      <c r="B4272" s="223">
        <v>21</v>
      </c>
      <c r="C4272" s="223">
        <v>24</v>
      </c>
      <c r="D4272" s="223">
        <v>5</v>
      </c>
      <c r="E4272" s="223">
        <v>400</v>
      </c>
    </row>
    <row r="4273" spans="1:5" ht="15">
      <c r="A4273" s="223" t="s">
        <v>352</v>
      </c>
      <c r="B4273" s="223">
        <v>21</v>
      </c>
      <c r="C4273" s="223">
        <v>24</v>
      </c>
      <c r="D4273" s="223">
        <v>8</v>
      </c>
      <c r="E4273" s="223">
        <v>1600</v>
      </c>
    </row>
    <row r="4274" spans="1:5" ht="15">
      <c r="A4274" s="223" t="s">
        <v>352</v>
      </c>
      <c r="B4274" s="223">
        <v>21</v>
      </c>
      <c r="C4274" s="223">
        <v>25</v>
      </c>
      <c r="D4274" s="223">
        <v>3</v>
      </c>
      <c r="E4274" s="223">
        <v>6922</v>
      </c>
    </row>
    <row r="4275" spans="1:5" ht="15">
      <c r="A4275" s="223" t="s">
        <v>352</v>
      </c>
      <c r="B4275" s="223">
        <v>21</v>
      </c>
      <c r="C4275" s="223">
        <v>25</v>
      </c>
      <c r="D4275" s="223">
        <v>4</v>
      </c>
      <c r="E4275" s="223">
        <v>3608</v>
      </c>
    </row>
    <row r="4276" spans="1:5" ht="15">
      <c r="A4276" s="223" t="s">
        <v>352</v>
      </c>
      <c r="B4276" s="223">
        <v>21</v>
      </c>
      <c r="C4276" s="223">
        <v>26</v>
      </c>
      <c r="D4276" s="223">
        <v>2</v>
      </c>
      <c r="E4276" s="223">
        <v>7047360</v>
      </c>
    </row>
    <row r="4277" spans="1:5" ht="15">
      <c r="A4277" s="223" t="s">
        <v>352</v>
      </c>
      <c r="B4277" s="223">
        <v>21</v>
      </c>
      <c r="C4277" s="223">
        <v>26</v>
      </c>
      <c r="D4277" s="223">
        <v>3</v>
      </c>
      <c r="E4277" s="223">
        <v>422199</v>
      </c>
    </row>
    <row r="4278" spans="1:5" ht="15">
      <c r="A4278" s="223" t="s">
        <v>352</v>
      </c>
      <c r="B4278" s="223">
        <v>21</v>
      </c>
      <c r="C4278" s="223">
        <v>26</v>
      </c>
      <c r="D4278" s="223">
        <v>4</v>
      </c>
      <c r="E4278" s="223">
        <v>2735699</v>
      </c>
    </row>
    <row r="4279" spans="1:5" ht="15">
      <c r="A4279" s="223" t="s">
        <v>352</v>
      </c>
      <c r="B4279" s="223">
        <v>21</v>
      </c>
      <c r="C4279" s="223">
        <v>26</v>
      </c>
      <c r="D4279" s="223">
        <v>5</v>
      </c>
      <c r="E4279" s="223">
        <v>94500</v>
      </c>
    </row>
    <row r="4280" spans="1:5" ht="15">
      <c r="A4280" s="223" t="s">
        <v>352</v>
      </c>
      <c r="B4280" s="223">
        <v>21</v>
      </c>
      <c r="C4280" s="223">
        <v>26</v>
      </c>
      <c r="D4280" s="223">
        <v>7</v>
      </c>
      <c r="E4280" s="223">
        <v>7000</v>
      </c>
    </row>
    <row r="4281" spans="1:5" ht="15">
      <c r="A4281" s="223" t="s">
        <v>352</v>
      </c>
      <c r="B4281" s="223">
        <v>21</v>
      </c>
      <c r="C4281" s="223">
        <v>26</v>
      </c>
      <c r="D4281" s="223">
        <v>8</v>
      </c>
      <c r="E4281" s="223">
        <v>6800</v>
      </c>
    </row>
    <row r="4282" spans="1:5" ht="15">
      <c r="A4282" s="223" t="s">
        <v>352</v>
      </c>
      <c r="B4282" s="223">
        <v>21</v>
      </c>
      <c r="C4282" s="223">
        <v>27</v>
      </c>
      <c r="D4282" s="223">
        <v>0</v>
      </c>
      <c r="E4282" s="223">
        <v>134050</v>
      </c>
    </row>
    <row r="4283" spans="1:5" ht="15">
      <c r="A4283" s="223" t="s">
        <v>352</v>
      </c>
      <c r="B4283" s="223">
        <v>21</v>
      </c>
      <c r="C4283" s="223">
        <v>27</v>
      </c>
      <c r="D4283" s="223">
        <v>2</v>
      </c>
      <c r="E4283" s="223">
        <v>12082866</v>
      </c>
    </row>
    <row r="4284" spans="1:5" ht="15">
      <c r="A4284" s="223" t="s">
        <v>352</v>
      </c>
      <c r="B4284" s="223">
        <v>21</v>
      </c>
      <c r="C4284" s="223">
        <v>27</v>
      </c>
      <c r="D4284" s="223">
        <v>3</v>
      </c>
      <c r="E4284" s="223">
        <v>10956733</v>
      </c>
    </row>
    <row r="4285" spans="1:5" ht="15">
      <c r="A4285" s="223" t="s">
        <v>352</v>
      </c>
      <c r="B4285" s="223">
        <v>21</v>
      </c>
      <c r="C4285" s="223">
        <v>27</v>
      </c>
      <c r="D4285" s="223">
        <v>4</v>
      </c>
      <c r="E4285" s="223">
        <v>9793474</v>
      </c>
    </row>
    <row r="4286" spans="1:5" ht="15">
      <c r="A4286" s="223" t="s">
        <v>352</v>
      </c>
      <c r="B4286" s="223">
        <v>21</v>
      </c>
      <c r="C4286" s="223">
        <v>27</v>
      </c>
      <c r="D4286" s="223">
        <v>5</v>
      </c>
      <c r="E4286" s="223">
        <v>191890</v>
      </c>
    </row>
    <row r="4287" spans="1:5" ht="15">
      <c r="A4287" s="223" t="s">
        <v>352</v>
      </c>
      <c r="B4287" s="223">
        <v>21</v>
      </c>
      <c r="C4287" s="223">
        <v>27</v>
      </c>
      <c r="D4287" s="223">
        <v>7</v>
      </c>
      <c r="E4287" s="223">
        <v>1234990</v>
      </c>
    </row>
    <row r="4288" spans="1:5" ht="15">
      <c r="A4288" s="223" t="s">
        <v>352</v>
      </c>
      <c r="B4288" s="223">
        <v>21</v>
      </c>
      <c r="C4288" s="223">
        <v>27</v>
      </c>
      <c r="D4288" s="223">
        <v>8</v>
      </c>
      <c r="E4288" s="223">
        <v>29280</v>
      </c>
    </row>
    <row r="4289" spans="1:5" ht="15">
      <c r="A4289" s="223" t="s">
        <v>352</v>
      </c>
      <c r="B4289" s="223">
        <v>21</v>
      </c>
      <c r="C4289" s="223">
        <v>27</v>
      </c>
      <c r="D4289" s="223">
        <v>9</v>
      </c>
      <c r="E4289" s="223">
        <v>10000</v>
      </c>
    </row>
    <row r="4290" spans="1:5" ht="15">
      <c r="A4290" s="223" t="s">
        <v>352</v>
      </c>
      <c r="B4290" s="223">
        <v>23</v>
      </c>
      <c r="C4290" s="223">
        <v>27</v>
      </c>
      <c r="D4290" s="223">
        <v>2</v>
      </c>
      <c r="E4290" s="223">
        <v>417817</v>
      </c>
    </row>
    <row r="4291" spans="1:5" ht="15">
      <c r="A4291" s="223" t="s">
        <v>352</v>
      </c>
      <c r="B4291" s="223">
        <v>23</v>
      </c>
      <c r="C4291" s="223">
        <v>27</v>
      </c>
      <c r="D4291" s="223">
        <v>4</v>
      </c>
      <c r="E4291" s="223">
        <v>145332</v>
      </c>
    </row>
    <row r="4292" spans="1:5" ht="15">
      <c r="A4292" s="223" t="s">
        <v>352</v>
      </c>
      <c r="B4292" s="223">
        <v>24</v>
      </c>
      <c r="C4292" s="223">
        <v>27</v>
      </c>
      <c r="D4292" s="223">
        <v>2</v>
      </c>
      <c r="E4292" s="223">
        <v>2890463</v>
      </c>
    </row>
    <row r="4293" spans="1:5" ht="15">
      <c r="A4293" s="223" t="s">
        <v>352</v>
      </c>
      <c r="B4293" s="223">
        <v>24</v>
      </c>
      <c r="C4293" s="223">
        <v>27</v>
      </c>
      <c r="D4293" s="223">
        <v>4</v>
      </c>
      <c r="E4293" s="223">
        <v>1041635</v>
      </c>
    </row>
    <row r="4294" spans="1:5" ht="15">
      <c r="A4294" s="223" t="s">
        <v>354</v>
      </c>
      <c r="B4294" s="223">
        <v>21</v>
      </c>
      <c r="C4294" s="223">
        <v>26</v>
      </c>
      <c r="D4294" s="223">
        <v>7</v>
      </c>
      <c r="E4294" s="223">
        <v>128800</v>
      </c>
    </row>
    <row r="4295" spans="1:5" ht="15">
      <c r="A4295" s="223" t="s">
        <v>354</v>
      </c>
      <c r="B4295" s="223">
        <v>21</v>
      </c>
      <c r="C4295" s="223">
        <v>27</v>
      </c>
      <c r="D4295" s="223">
        <v>3</v>
      </c>
      <c r="E4295" s="223">
        <v>2535</v>
      </c>
    </row>
    <row r="4296" spans="1:5" ht="15">
      <c r="A4296" s="223" t="s">
        <v>354</v>
      </c>
      <c r="B4296" s="223">
        <v>21</v>
      </c>
      <c r="C4296" s="223">
        <v>27</v>
      </c>
      <c r="D4296" s="223">
        <v>4</v>
      </c>
      <c r="E4296" s="223">
        <v>1776</v>
      </c>
    </row>
    <row r="4297" spans="1:5" ht="15">
      <c r="A4297" s="223" t="s">
        <v>354</v>
      </c>
      <c r="B4297" s="223">
        <v>21</v>
      </c>
      <c r="C4297" s="223">
        <v>27</v>
      </c>
      <c r="D4297" s="223">
        <v>5</v>
      </c>
      <c r="E4297" s="223">
        <v>2000</v>
      </c>
    </row>
    <row r="4298" spans="1:5" ht="15">
      <c r="A4298" s="223" t="s">
        <v>354</v>
      </c>
      <c r="B4298" s="223">
        <v>24</v>
      </c>
      <c r="C4298" s="223">
        <v>26</v>
      </c>
      <c r="D4298" s="223">
        <v>7</v>
      </c>
      <c r="E4298" s="223">
        <v>6775</v>
      </c>
    </row>
    <row r="4299" spans="1:5" ht="15">
      <c r="A4299" s="223" t="s">
        <v>354</v>
      </c>
      <c r="B4299" s="223">
        <v>29</v>
      </c>
      <c r="C4299" s="223">
        <v>27</v>
      </c>
      <c r="D4299" s="223">
        <v>3</v>
      </c>
      <c r="E4299" s="223">
        <v>5071</v>
      </c>
    </row>
    <row r="4300" spans="1:5" ht="15">
      <c r="A4300" s="223" t="s">
        <v>354</v>
      </c>
      <c r="B4300" s="223">
        <v>29</v>
      </c>
      <c r="C4300" s="223">
        <v>27</v>
      </c>
      <c r="D4300" s="223">
        <v>4</v>
      </c>
      <c r="E4300" s="223">
        <v>3552</v>
      </c>
    </row>
    <row r="4301" spans="1:5" ht="15">
      <c r="A4301" s="223" t="s">
        <v>67</v>
      </c>
      <c r="B4301" s="223">
        <v>21</v>
      </c>
      <c r="C4301" s="223">
        <v>21</v>
      </c>
      <c r="D4301" s="223">
        <v>2</v>
      </c>
      <c r="E4301" s="223">
        <v>87631</v>
      </c>
    </row>
    <row r="4302" spans="1:5" ht="15">
      <c r="A4302" s="223" t="s">
        <v>67</v>
      </c>
      <c r="B4302" s="223">
        <v>21</v>
      </c>
      <c r="C4302" s="223">
        <v>21</v>
      </c>
      <c r="D4302" s="223">
        <v>3</v>
      </c>
      <c r="E4302" s="223">
        <v>8705</v>
      </c>
    </row>
    <row r="4303" spans="1:5" ht="15">
      <c r="A4303" s="223" t="s">
        <v>67</v>
      </c>
      <c r="B4303" s="223">
        <v>21</v>
      </c>
      <c r="C4303" s="223">
        <v>21</v>
      </c>
      <c r="D4303" s="223">
        <v>4</v>
      </c>
      <c r="E4303" s="223">
        <v>32498</v>
      </c>
    </row>
    <row r="4304" spans="1:5" ht="15">
      <c r="A4304" s="223" t="s">
        <v>67</v>
      </c>
      <c r="B4304" s="223">
        <v>21</v>
      </c>
      <c r="C4304" s="223">
        <v>21</v>
      </c>
      <c r="D4304" s="223">
        <v>5</v>
      </c>
      <c r="E4304" s="223">
        <v>450</v>
      </c>
    </row>
    <row r="4305" spans="1:5" ht="15">
      <c r="A4305" s="223" t="s">
        <v>67</v>
      </c>
      <c r="B4305" s="223">
        <v>21</v>
      </c>
      <c r="C4305" s="223">
        <v>21</v>
      </c>
      <c r="D4305" s="223">
        <v>7</v>
      </c>
      <c r="E4305" s="223">
        <v>3200</v>
      </c>
    </row>
    <row r="4306" spans="1:5" ht="15">
      <c r="A4306" s="223" t="s">
        <v>67</v>
      </c>
      <c r="B4306" s="223">
        <v>21</v>
      </c>
      <c r="C4306" s="223">
        <v>21</v>
      </c>
      <c r="D4306" s="223">
        <v>8</v>
      </c>
      <c r="E4306" s="223">
        <v>1100</v>
      </c>
    </row>
    <row r="4307" spans="1:5" ht="15">
      <c r="A4307" s="223" t="s">
        <v>67</v>
      </c>
      <c r="B4307" s="223">
        <v>21</v>
      </c>
      <c r="C4307" s="223">
        <v>26</v>
      </c>
      <c r="D4307" s="223">
        <v>5</v>
      </c>
      <c r="E4307" s="223">
        <v>250</v>
      </c>
    </row>
    <row r="4308" spans="1:5" ht="15">
      <c r="A4308" s="223" t="s">
        <v>67</v>
      </c>
      <c r="B4308" s="223">
        <v>21</v>
      </c>
      <c r="C4308" s="223">
        <v>26</v>
      </c>
      <c r="D4308" s="223">
        <v>7</v>
      </c>
      <c r="E4308" s="223">
        <v>117569</v>
      </c>
    </row>
    <row r="4309" spans="1:5" ht="15">
      <c r="A4309" s="223" t="s">
        <v>67</v>
      </c>
      <c r="B4309" s="223">
        <v>21</v>
      </c>
      <c r="C4309" s="223">
        <v>27</v>
      </c>
      <c r="D4309" s="223">
        <v>2</v>
      </c>
      <c r="E4309" s="223">
        <v>270738</v>
      </c>
    </row>
    <row r="4310" spans="1:5" ht="15">
      <c r="A4310" s="223" t="s">
        <v>67</v>
      </c>
      <c r="B4310" s="223">
        <v>21</v>
      </c>
      <c r="C4310" s="223">
        <v>27</v>
      </c>
      <c r="D4310" s="223">
        <v>3</v>
      </c>
      <c r="E4310" s="223">
        <v>173646</v>
      </c>
    </row>
    <row r="4311" spans="1:5" ht="15">
      <c r="A4311" s="223" t="s">
        <v>67</v>
      </c>
      <c r="B4311" s="223">
        <v>21</v>
      </c>
      <c r="C4311" s="223">
        <v>27</v>
      </c>
      <c r="D4311" s="223">
        <v>4</v>
      </c>
      <c r="E4311" s="223">
        <v>197016</v>
      </c>
    </row>
    <row r="4312" spans="1:5" ht="15">
      <c r="A4312" s="223" t="s">
        <v>67</v>
      </c>
      <c r="B4312" s="223">
        <v>21</v>
      </c>
      <c r="C4312" s="223">
        <v>27</v>
      </c>
      <c r="D4312" s="223">
        <v>5</v>
      </c>
      <c r="E4312" s="223">
        <v>1200</v>
      </c>
    </row>
    <row r="4313" spans="1:5" ht="15">
      <c r="A4313" s="223" t="s">
        <v>67</v>
      </c>
      <c r="B4313" s="223">
        <v>21</v>
      </c>
      <c r="C4313" s="223">
        <v>27</v>
      </c>
      <c r="D4313" s="223">
        <v>7</v>
      </c>
      <c r="E4313" s="223">
        <v>13000</v>
      </c>
    </row>
    <row r="4314" spans="1:5" ht="15">
      <c r="A4314" s="223" t="s">
        <v>67</v>
      </c>
      <c r="B4314" s="223">
        <v>21</v>
      </c>
      <c r="C4314" s="223">
        <v>27</v>
      </c>
      <c r="D4314" s="223">
        <v>8</v>
      </c>
      <c r="E4314" s="223">
        <v>500</v>
      </c>
    </row>
    <row r="4315" spans="1:5" ht="15">
      <c r="A4315" s="223" t="s">
        <v>67</v>
      </c>
      <c r="B4315" s="223">
        <v>21</v>
      </c>
      <c r="C4315" s="223">
        <v>33</v>
      </c>
      <c r="D4315" s="223">
        <v>5</v>
      </c>
      <c r="E4315" s="223">
        <v>1750</v>
      </c>
    </row>
    <row r="4316" spans="1:5" ht="15">
      <c r="A4316" s="223" t="s">
        <v>67</v>
      </c>
      <c r="B4316" s="223">
        <v>21</v>
      </c>
      <c r="C4316" s="223">
        <v>34</v>
      </c>
      <c r="D4316" s="223">
        <v>2</v>
      </c>
      <c r="E4316" s="223">
        <v>5547</v>
      </c>
    </row>
    <row r="4317" spans="1:5" ht="15">
      <c r="A4317" s="223" t="s">
        <v>67</v>
      </c>
      <c r="B4317" s="223">
        <v>21</v>
      </c>
      <c r="C4317" s="223">
        <v>34</v>
      </c>
      <c r="D4317" s="223">
        <v>4</v>
      </c>
      <c r="E4317" s="223">
        <v>1278</v>
      </c>
    </row>
    <row r="4318" spans="1:5" ht="15">
      <c r="A4318" s="223" t="s">
        <v>67</v>
      </c>
      <c r="B4318" s="223">
        <v>23</v>
      </c>
      <c r="C4318" s="223">
        <v>27</v>
      </c>
      <c r="D4318" s="223">
        <v>3</v>
      </c>
      <c r="E4318" s="223">
        <v>6404</v>
      </c>
    </row>
    <row r="4319" spans="1:5" ht="15">
      <c r="A4319" s="223" t="s">
        <v>67</v>
      </c>
      <c r="B4319" s="223">
        <v>23</v>
      </c>
      <c r="C4319" s="223">
        <v>27</v>
      </c>
      <c r="D4319" s="223">
        <v>4</v>
      </c>
      <c r="E4319" s="223">
        <v>4270</v>
      </c>
    </row>
    <row r="4320" spans="1:5" ht="15">
      <c r="A4320" s="223" t="s">
        <v>67</v>
      </c>
      <c r="B4320" s="223">
        <v>24</v>
      </c>
      <c r="C4320" s="223">
        <v>26</v>
      </c>
      <c r="D4320" s="223">
        <v>7</v>
      </c>
      <c r="E4320" s="223">
        <v>88551</v>
      </c>
    </row>
    <row r="4321" spans="1:5" ht="15">
      <c r="A4321" s="223" t="s">
        <v>243</v>
      </c>
      <c r="B4321" s="223">
        <v>21</v>
      </c>
      <c r="C4321" s="223">
        <v>21</v>
      </c>
      <c r="D4321" s="223">
        <v>0</v>
      </c>
      <c r="E4321" s="223">
        <v>250</v>
      </c>
    </row>
    <row r="4322" spans="1:5" ht="15">
      <c r="A4322" s="223" t="s">
        <v>243</v>
      </c>
      <c r="B4322" s="223">
        <v>21</v>
      </c>
      <c r="C4322" s="223">
        <v>21</v>
      </c>
      <c r="D4322" s="223">
        <v>2</v>
      </c>
      <c r="E4322" s="223">
        <v>186717</v>
      </c>
    </row>
    <row r="4323" spans="1:5" ht="15">
      <c r="A4323" s="223" t="s">
        <v>243</v>
      </c>
      <c r="B4323" s="223">
        <v>21</v>
      </c>
      <c r="C4323" s="223">
        <v>21</v>
      </c>
      <c r="D4323" s="223">
        <v>3</v>
      </c>
      <c r="E4323" s="223">
        <v>54479</v>
      </c>
    </row>
    <row r="4324" spans="1:5" ht="15">
      <c r="A4324" s="223" t="s">
        <v>243</v>
      </c>
      <c r="B4324" s="223">
        <v>21</v>
      </c>
      <c r="C4324" s="223">
        <v>21</v>
      </c>
      <c r="D4324" s="223">
        <v>4</v>
      </c>
      <c r="E4324" s="223">
        <v>79871</v>
      </c>
    </row>
    <row r="4325" spans="1:5" ht="15">
      <c r="A4325" s="223" t="s">
        <v>243</v>
      </c>
      <c r="B4325" s="223">
        <v>21</v>
      </c>
      <c r="C4325" s="223">
        <v>21</v>
      </c>
      <c r="D4325" s="223">
        <v>5</v>
      </c>
      <c r="E4325" s="223">
        <v>3660</v>
      </c>
    </row>
    <row r="4326" spans="1:5" ht="15">
      <c r="A4326" s="223" t="s">
        <v>243</v>
      </c>
      <c r="B4326" s="223">
        <v>21</v>
      </c>
      <c r="C4326" s="223">
        <v>21</v>
      </c>
      <c r="D4326" s="223">
        <v>7</v>
      </c>
      <c r="E4326" s="223">
        <v>11770</v>
      </c>
    </row>
    <row r="4327" spans="1:5" ht="15">
      <c r="A4327" s="223" t="s">
        <v>243</v>
      </c>
      <c r="B4327" s="223">
        <v>21</v>
      </c>
      <c r="C4327" s="223">
        <v>21</v>
      </c>
      <c r="D4327" s="223">
        <v>8</v>
      </c>
      <c r="E4327" s="223">
        <v>1500</v>
      </c>
    </row>
    <row r="4328" spans="1:5" ht="15">
      <c r="A4328" s="223" t="s">
        <v>243</v>
      </c>
      <c r="B4328" s="223">
        <v>21</v>
      </c>
      <c r="C4328" s="223">
        <v>24</v>
      </c>
      <c r="D4328" s="223">
        <v>7</v>
      </c>
      <c r="E4328" s="223">
        <v>6750</v>
      </c>
    </row>
    <row r="4329" spans="1:5" ht="15">
      <c r="A4329" s="223" t="s">
        <v>243</v>
      </c>
      <c r="B4329" s="223">
        <v>21</v>
      </c>
      <c r="C4329" s="223">
        <v>26</v>
      </c>
      <c r="D4329" s="223">
        <v>2</v>
      </c>
      <c r="E4329" s="223">
        <v>101782</v>
      </c>
    </row>
    <row r="4330" spans="1:5" ht="15">
      <c r="A4330" s="223" t="s">
        <v>243</v>
      </c>
      <c r="B4330" s="223">
        <v>21</v>
      </c>
      <c r="C4330" s="223">
        <v>26</v>
      </c>
      <c r="D4330" s="223">
        <v>3</v>
      </c>
      <c r="E4330" s="223">
        <v>8288</v>
      </c>
    </row>
    <row r="4331" spans="1:5" ht="15">
      <c r="A4331" s="223" t="s">
        <v>243</v>
      </c>
      <c r="B4331" s="223">
        <v>21</v>
      </c>
      <c r="C4331" s="223">
        <v>26</v>
      </c>
      <c r="D4331" s="223">
        <v>4</v>
      </c>
      <c r="E4331" s="223">
        <v>36812</v>
      </c>
    </row>
    <row r="4332" spans="1:5" ht="15">
      <c r="A4332" s="223" t="s">
        <v>243</v>
      </c>
      <c r="B4332" s="223">
        <v>21</v>
      </c>
      <c r="C4332" s="223">
        <v>26</v>
      </c>
      <c r="D4332" s="223">
        <v>5</v>
      </c>
      <c r="E4332" s="223">
        <v>8700</v>
      </c>
    </row>
    <row r="4333" spans="1:5" ht="15">
      <c r="A4333" s="223" t="s">
        <v>243</v>
      </c>
      <c r="B4333" s="223">
        <v>21</v>
      </c>
      <c r="C4333" s="223">
        <v>26</v>
      </c>
      <c r="D4333" s="223">
        <v>7</v>
      </c>
      <c r="E4333" s="223">
        <v>294200</v>
      </c>
    </row>
    <row r="4334" spans="1:5" ht="15">
      <c r="A4334" s="223" t="s">
        <v>243</v>
      </c>
      <c r="B4334" s="223">
        <v>21</v>
      </c>
      <c r="C4334" s="223">
        <v>27</v>
      </c>
      <c r="D4334" s="223">
        <v>0</v>
      </c>
      <c r="E4334" s="223">
        <v>2650</v>
      </c>
    </row>
    <row r="4335" spans="1:5" ht="15">
      <c r="A4335" s="223" t="s">
        <v>243</v>
      </c>
      <c r="B4335" s="223">
        <v>21</v>
      </c>
      <c r="C4335" s="223">
        <v>27</v>
      </c>
      <c r="D4335" s="223">
        <v>2</v>
      </c>
      <c r="E4335" s="223">
        <v>524331</v>
      </c>
    </row>
    <row r="4336" spans="1:5" ht="15">
      <c r="A4336" s="223" t="s">
        <v>243</v>
      </c>
      <c r="B4336" s="223">
        <v>21</v>
      </c>
      <c r="C4336" s="223">
        <v>27</v>
      </c>
      <c r="D4336" s="223">
        <v>3</v>
      </c>
      <c r="E4336" s="223">
        <v>371046</v>
      </c>
    </row>
    <row r="4337" spans="1:5" ht="15">
      <c r="A4337" s="223" t="s">
        <v>243</v>
      </c>
      <c r="B4337" s="223">
        <v>21</v>
      </c>
      <c r="C4337" s="223">
        <v>27</v>
      </c>
      <c r="D4337" s="223">
        <v>4</v>
      </c>
      <c r="E4337" s="223">
        <v>417108</v>
      </c>
    </row>
    <row r="4338" spans="1:5" ht="15">
      <c r="A4338" s="223" t="s">
        <v>243</v>
      </c>
      <c r="B4338" s="223">
        <v>21</v>
      </c>
      <c r="C4338" s="223">
        <v>27</v>
      </c>
      <c r="D4338" s="223">
        <v>5</v>
      </c>
      <c r="E4338" s="223">
        <v>12150</v>
      </c>
    </row>
    <row r="4339" spans="1:5" ht="15">
      <c r="A4339" s="223" t="s">
        <v>243</v>
      </c>
      <c r="B4339" s="223">
        <v>21</v>
      </c>
      <c r="C4339" s="223">
        <v>27</v>
      </c>
      <c r="D4339" s="223">
        <v>7</v>
      </c>
      <c r="E4339" s="223">
        <v>4694725</v>
      </c>
    </row>
    <row r="4340" spans="1:5" ht="15">
      <c r="A4340" s="223" t="s">
        <v>243</v>
      </c>
      <c r="B4340" s="223">
        <v>21</v>
      </c>
      <c r="C4340" s="223">
        <v>27</v>
      </c>
      <c r="D4340" s="223">
        <v>8</v>
      </c>
      <c r="E4340" s="223">
        <v>100</v>
      </c>
    </row>
    <row r="4341" spans="1:5" ht="15">
      <c r="A4341" s="223" t="s">
        <v>243</v>
      </c>
      <c r="B4341" s="223">
        <v>21</v>
      </c>
      <c r="C4341" s="223">
        <v>31</v>
      </c>
      <c r="D4341" s="223">
        <v>0</v>
      </c>
      <c r="E4341" s="223">
        <v>1600</v>
      </c>
    </row>
    <row r="4342" spans="1:5" ht="15">
      <c r="A4342" s="223" t="s">
        <v>243</v>
      </c>
      <c r="B4342" s="223">
        <v>21</v>
      </c>
      <c r="C4342" s="223">
        <v>31</v>
      </c>
      <c r="D4342" s="223">
        <v>2</v>
      </c>
      <c r="E4342" s="223">
        <v>7200</v>
      </c>
    </row>
    <row r="4343" spans="1:5" ht="15">
      <c r="A4343" s="223" t="s">
        <v>243</v>
      </c>
      <c r="B4343" s="223">
        <v>21</v>
      </c>
      <c r="C4343" s="223">
        <v>31</v>
      </c>
      <c r="D4343" s="223">
        <v>3</v>
      </c>
      <c r="E4343" s="223">
        <v>1751</v>
      </c>
    </row>
    <row r="4344" spans="1:5" ht="15">
      <c r="A4344" s="223" t="s">
        <v>243</v>
      </c>
      <c r="B4344" s="223">
        <v>21</v>
      </c>
      <c r="C4344" s="223">
        <v>31</v>
      </c>
      <c r="D4344" s="223">
        <v>4</v>
      </c>
      <c r="E4344" s="223">
        <v>1554</v>
      </c>
    </row>
    <row r="4345" spans="1:5" ht="15">
      <c r="A4345" s="223" t="s">
        <v>243</v>
      </c>
      <c r="B4345" s="223">
        <v>21</v>
      </c>
      <c r="C4345" s="223">
        <v>31</v>
      </c>
      <c r="D4345" s="223">
        <v>5</v>
      </c>
      <c r="E4345" s="223">
        <v>1600</v>
      </c>
    </row>
    <row r="4346" spans="1:5" ht="15">
      <c r="A4346" s="223" t="s">
        <v>243</v>
      </c>
      <c r="B4346" s="223">
        <v>21</v>
      </c>
      <c r="C4346" s="223">
        <v>31</v>
      </c>
      <c r="D4346" s="223">
        <v>7</v>
      </c>
      <c r="E4346" s="223">
        <v>8495</v>
      </c>
    </row>
    <row r="4347" spans="1:5" ht="15">
      <c r="A4347" s="223" t="s">
        <v>243</v>
      </c>
      <c r="B4347" s="223">
        <v>21</v>
      </c>
      <c r="C4347" s="223">
        <v>31</v>
      </c>
      <c r="D4347" s="223">
        <v>8</v>
      </c>
      <c r="E4347" s="223">
        <v>5425</v>
      </c>
    </row>
    <row r="4348" spans="1:5" ht="15">
      <c r="A4348" s="223" t="s">
        <v>243</v>
      </c>
      <c r="B4348" s="223">
        <v>21</v>
      </c>
      <c r="C4348" s="223">
        <v>32</v>
      </c>
      <c r="D4348" s="223">
        <v>5</v>
      </c>
      <c r="E4348" s="223">
        <v>5500</v>
      </c>
    </row>
    <row r="4349" spans="1:5" ht="15">
      <c r="A4349" s="223" t="s">
        <v>243</v>
      </c>
      <c r="B4349" s="223">
        <v>21</v>
      </c>
      <c r="C4349" s="223">
        <v>33</v>
      </c>
      <c r="D4349" s="223">
        <v>5</v>
      </c>
      <c r="E4349" s="223">
        <v>6000</v>
      </c>
    </row>
    <row r="4350" spans="1:5" ht="15">
      <c r="A4350" s="223" t="s">
        <v>243</v>
      </c>
      <c r="B4350" s="223">
        <v>21</v>
      </c>
      <c r="C4350" s="223">
        <v>33</v>
      </c>
      <c r="D4350" s="223">
        <v>7</v>
      </c>
      <c r="E4350" s="223">
        <v>2600</v>
      </c>
    </row>
    <row r="4351" spans="1:5" ht="15">
      <c r="A4351" s="223" t="s">
        <v>243</v>
      </c>
      <c r="B4351" s="223">
        <v>21</v>
      </c>
      <c r="C4351" s="223">
        <v>34</v>
      </c>
      <c r="D4351" s="223">
        <v>2</v>
      </c>
      <c r="E4351" s="223">
        <v>14125</v>
      </c>
    </row>
    <row r="4352" spans="1:5" ht="15">
      <c r="A4352" s="223" t="s">
        <v>243</v>
      </c>
      <c r="B4352" s="223">
        <v>21</v>
      </c>
      <c r="C4352" s="223">
        <v>34</v>
      </c>
      <c r="D4352" s="223">
        <v>4</v>
      </c>
      <c r="E4352" s="223">
        <v>25574</v>
      </c>
    </row>
    <row r="4353" spans="1:5" ht="15">
      <c r="A4353" s="223" t="s">
        <v>243</v>
      </c>
      <c r="B4353" s="223">
        <v>23</v>
      </c>
      <c r="C4353" s="223">
        <v>27</v>
      </c>
      <c r="D4353" s="223">
        <v>3</v>
      </c>
      <c r="E4353" s="223">
        <v>7091</v>
      </c>
    </row>
    <row r="4354" spans="1:5" ht="15">
      <c r="A4354" s="223" t="s">
        <v>243</v>
      </c>
      <c r="B4354" s="223">
        <v>23</v>
      </c>
      <c r="C4354" s="223">
        <v>27</v>
      </c>
      <c r="D4354" s="223">
        <v>4</v>
      </c>
      <c r="E4354" s="223">
        <v>4902</v>
      </c>
    </row>
    <row r="4355" spans="1:5" ht="15">
      <c r="A4355" s="223" t="s">
        <v>243</v>
      </c>
      <c r="B4355" s="223">
        <v>24</v>
      </c>
      <c r="C4355" s="223">
        <v>27</v>
      </c>
      <c r="D4355" s="223">
        <v>2</v>
      </c>
      <c r="E4355" s="223">
        <v>169762</v>
      </c>
    </row>
    <row r="4356" spans="1:5" ht="15">
      <c r="A4356" s="223" t="s">
        <v>243</v>
      </c>
      <c r="B4356" s="223">
        <v>24</v>
      </c>
      <c r="C4356" s="223">
        <v>27</v>
      </c>
      <c r="D4356" s="223">
        <v>3</v>
      </c>
      <c r="E4356" s="223">
        <v>236790</v>
      </c>
    </row>
    <row r="4357" spans="1:5" ht="15">
      <c r="A4357" s="223" t="s">
        <v>243</v>
      </c>
      <c r="B4357" s="223">
        <v>24</v>
      </c>
      <c r="C4357" s="223">
        <v>27</v>
      </c>
      <c r="D4357" s="223">
        <v>4</v>
      </c>
      <c r="E4357" s="223">
        <v>201414</v>
      </c>
    </row>
    <row r="4358" spans="1:5" ht="15">
      <c r="A4358" s="223" t="s">
        <v>362</v>
      </c>
      <c r="B4358" s="223">
        <v>21</v>
      </c>
      <c r="C4358" s="223">
        <v>21</v>
      </c>
      <c r="D4358" s="223">
        <v>2</v>
      </c>
      <c r="E4358" s="223">
        <v>253859</v>
      </c>
    </row>
    <row r="4359" spans="1:5" ht="15">
      <c r="A4359" s="223" t="s">
        <v>362</v>
      </c>
      <c r="B4359" s="223">
        <v>21</v>
      </c>
      <c r="C4359" s="223">
        <v>21</v>
      </c>
      <c r="D4359" s="223">
        <v>3</v>
      </c>
      <c r="E4359" s="223">
        <v>52970</v>
      </c>
    </row>
    <row r="4360" spans="1:5" ht="15">
      <c r="A4360" s="223" t="s">
        <v>362</v>
      </c>
      <c r="B4360" s="223">
        <v>21</v>
      </c>
      <c r="C4360" s="223">
        <v>21</v>
      </c>
      <c r="D4360" s="223">
        <v>4</v>
      </c>
      <c r="E4360" s="223">
        <v>105786</v>
      </c>
    </row>
    <row r="4361" spans="1:5" ht="15">
      <c r="A4361" s="223" t="s">
        <v>362</v>
      </c>
      <c r="B4361" s="223">
        <v>21</v>
      </c>
      <c r="C4361" s="223">
        <v>21</v>
      </c>
      <c r="D4361" s="223">
        <v>5</v>
      </c>
      <c r="E4361" s="223">
        <v>750</v>
      </c>
    </row>
    <row r="4362" spans="1:5" ht="15">
      <c r="A4362" s="223" t="s">
        <v>362</v>
      </c>
      <c r="B4362" s="223">
        <v>21</v>
      </c>
      <c r="C4362" s="223">
        <v>25</v>
      </c>
      <c r="D4362" s="223">
        <v>3</v>
      </c>
      <c r="E4362" s="223">
        <v>58365</v>
      </c>
    </row>
    <row r="4363" spans="1:5" ht="15">
      <c r="A4363" s="223" t="s">
        <v>362</v>
      </c>
      <c r="B4363" s="223">
        <v>21</v>
      </c>
      <c r="C4363" s="223">
        <v>25</v>
      </c>
      <c r="D4363" s="223">
        <v>4</v>
      </c>
      <c r="E4363" s="223">
        <v>60455</v>
      </c>
    </row>
    <row r="4364" spans="1:5" ht="15">
      <c r="A4364" s="223" t="s">
        <v>362</v>
      </c>
      <c r="B4364" s="223">
        <v>21</v>
      </c>
      <c r="C4364" s="223">
        <v>26</v>
      </c>
      <c r="D4364" s="223">
        <v>3</v>
      </c>
      <c r="E4364" s="223">
        <v>36281</v>
      </c>
    </row>
    <row r="4365" spans="1:5" ht="15">
      <c r="A4365" s="223" t="s">
        <v>362</v>
      </c>
      <c r="B4365" s="223">
        <v>21</v>
      </c>
      <c r="C4365" s="223">
        <v>26</v>
      </c>
      <c r="D4365" s="223">
        <v>4</v>
      </c>
      <c r="E4365" s="223">
        <v>19710</v>
      </c>
    </row>
    <row r="4366" spans="1:5" ht="15">
      <c r="A4366" s="223" t="s">
        <v>362</v>
      </c>
      <c r="B4366" s="223">
        <v>21</v>
      </c>
      <c r="C4366" s="223">
        <v>26</v>
      </c>
      <c r="D4366" s="223">
        <v>5</v>
      </c>
      <c r="E4366" s="223">
        <v>5750</v>
      </c>
    </row>
    <row r="4367" spans="1:5" ht="15">
      <c r="A4367" s="223" t="s">
        <v>362</v>
      </c>
      <c r="B4367" s="223">
        <v>21</v>
      </c>
      <c r="C4367" s="223">
        <v>26</v>
      </c>
      <c r="D4367" s="223">
        <v>7</v>
      </c>
      <c r="E4367" s="223">
        <v>636000</v>
      </c>
    </row>
    <row r="4368" spans="1:5" ht="15">
      <c r="A4368" s="223" t="s">
        <v>362</v>
      </c>
      <c r="B4368" s="223">
        <v>21</v>
      </c>
      <c r="C4368" s="223">
        <v>26</v>
      </c>
      <c r="D4368" s="223">
        <v>8</v>
      </c>
      <c r="E4368" s="223">
        <v>500</v>
      </c>
    </row>
    <row r="4369" spans="1:5" ht="15">
      <c r="A4369" s="223" t="s">
        <v>362</v>
      </c>
      <c r="B4369" s="223">
        <v>21</v>
      </c>
      <c r="C4369" s="223">
        <v>27</v>
      </c>
      <c r="D4369" s="223">
        <v>2</v>
      </c>
      <c r="E4369" s="223">
        <v>1140161</v>
      </c>
    </row>
    <row r="4370" spans="1:5" ht="15">
      <c r="A4370" s="223" t="s">
        <v>362</v>
      </c>
      <c r="B4370" s="223">
        <v>21</v>
      </c>
      <c r="C4370" s="223">
        <v>27</v>
      </c>
      <c r="D4370" s="223">
        <v>3</v>
      </c>
      <c r="E4370" s="223">
        <v>1214397</v>
      </c>
    </row>
    <row r="4371" spans="1:5" ht="15">
      <c r="A4371" s="223" t="s">
        <v>362</v>
      </c>
      <c r="B4371" s="223">
        <v>21</v>
      </c>
      <c r="C4371" s="223">
        <v>27</v>
      </c>
      <c r="D4371" s="223">
        <v>4</v>
      </c>
      <c r="E4371" s="223">
        <v>1186844</v>
      </c>
    </row>
    <row r="4372" spans="1:5" ht="15">
      <c r="A4372" s="223" t="s">
        <v>362</v>
      </c>
      <c r="B4372" s="223">
        <v>21</v>
      </c>
      <c r="C4372" s="223">
        <v>27</v>
      </c>
      <c r="D4372" s="223">
        <v>5</v>
      </c>
      <c r="E4372" s="223">
        <v>3000</v>
      </c>
    </row>
    <row r="4373" spans="1:5" ht="15">
      <c r="A4373" s="223" t="s">
        <v>362</v>
      </c>
      <c r="B4373" s="223">
        <v>21</v>
      </c>
      <c r="C4373" s="223">
        <v>27</v>
      </c>
      <c r="D4373" s="223">
        <v>7</v>
      </c>
      <c r="E4373" s="223">
        <v>2500</v>
      </c>
    </row>
    <row r="4374" spans="1:5" ht="15">
      <c r="A4374" s="223" t="s">
        <v>362</v>
      </c>
      <c r="B4374" s="223">
        <v>21</v>
      </c>
      <c r="C4374" s="223">
        <v>27</v>
      </c>
      <c r="D4374" s="223">
        <v>8</v>
      </c>
      <c r="E4374" s="223">
        <v>700</v>
      </c>
    </row>
    <row r="4375" spans="1:5" ht="15">
      <c r="A4375" s="223" t="s">
        <v>362</v>
      </c>
      <c r="B4375" s="223">
        <v>21</v>
      </c>
      <c r="C4375" s="223">
        <v>31</v>
      </c>
      <c r="D4375" s="223">
        <v>7</v>
      </c>
      <c r="E4375" s="223">
        <v>1500</v>
      </c>
    </row>
    <row r="4376" spans="1:5" ht="15">
      <c r="A4376" s="223" t="s">
        <v>362</v>
      </c>
      <c r="B4376" s="223">
        <v>21</v>
      </c>
      <c r="C4376" s="223">
        <v>31</v>
      </c>
      <c r="D4376" s="223">
        <v>8</v>
      </c>
      <c r="E4376" s="223">
        <v>500</v>
      </c>
    </row>
    <row r="4377" spans="1:5" ht="15">
      <c r="A4377" s="223" t="s">
        <v>362</v>
      </c>
      <c r="B4377" s="223">
        <v>21</v>
      </c>
      <c r="C4377" s="223">
        <v>33</v>
      </c>
      <c r="D4377" s="223">
        <v>5</v>
      </c>
      <c r="E4377" s="223">
        <v>500</v>
      </c>
    </row>
    <row r="4378" spans="1:5" ht="15">
      <c r="A4378" s="223" t="s">
        <v>362</v>
      </c>
      <c r="B4378" s="223">
        <v>21</v>
      </c>
      <c r="C4378" s="223">
        <v>33</v>
      </c>
      <c r="D4378" s="223">
        <v>7</v>
      </c>
      <c r="E4378" s="223">
        <v>500</v>
      </c>
    </row>
    <row r="4379" spans="1:5" ht="15">
      <c r="A4379" s="223" t="s">
        <v>362</v>
      </c>
      <c r="B4379" s="223">
        <v>23</v>
      </c>
      <c r="C4379" s="223">
        <v>26</v>
      </c>
      <c r="D4379" s="223">
        <v>2</v>
      </c>
      <c r="E4379" s="223">
        <v>68814</v>
      </c>
    </row>
    <row r="4380" spans="1:5" ht="15">
      <c r="A4380" s="223" t="s">
        <v>362</v>
      </c>
      <c r="B4380" s="223">
        <v>23</v>
      </c>
      <c r="C4380" s="223">
        <v>26</v>
      </c>
      <c r="D4380" s="223">
        <v>4</v>
      </c>
      <c r="E4380" s="223">
        <v>36369</v>
      </c>
    </row>
    <row r="4381" spans="1:5" ht="15">
      <c r="A4381" s="223" t="s">
        <v>362</v>
      </c>
      <c r="B4381" s="223">
        <v>23</v>
      </c>
      <c r="C4381" s="223">
        <v>26</v>
      </c>
      <c r="D4381" s="223">
        <v>5</v>
      </c>
      <c r="E4381" s="223">
        <v>515</v>
      </c>
    </row>
    <row r="4382" spans="1:5" ht="15">
      <c r="A4382" s="223" t="s">
        <v>362</v>
      </c>
      <c r="B4382" s="223">
        <v>23</v>
      </c>
      <c r="C4382" s="223">
        <v>26</v>
      </c>
      <c r="D4382" s="223">
        <v>7</v>
      </c>
      <c r="E4382" s="223">
        <v>49000</v>
      </c>
    </row>
    <row r="4383" spans="1:5" ht="15">
      <c r="A4383" s="223" t="s">
        <v>362</v>
      </c>
      <c r="B4383" s="223">
        <v>23</v>
      </c>
      <c r="C4383" s="223">
        <v>27</v>
      </c>
      <c r="D4383" s="223">
        <v>3</v>
      </c>
      <c r="E4383" s="223">
        <v>10584</v>
      </c>
    </row>
    <row r="4384" spans="1:5" ht="15">
      <c r="A4384" s="223" t="s">
        <v>362</v>
      </c>
      <c r="B4384" s="223">
        <v>23</v>
      </c>
      <c r="C4384" s="223">
        <v>27</v>
      </c>
      <c r="D4384" s="223">
        <v>4</v>
      </c>
      <c r="E4384" s="223">
        <v>5718</v>
      </c>
    </row>
    <row r="4385" spans="1:5" ht="15">
      <c r="A4385" s="223" t="s">
        <v>362</v>
      </c>
      <c r="B4385" s="223">
        <v>24</v>
      </c>
      <c r="C4385" s="223">
        <v>26</v>
      </c>
      <c r="D4385" s="223">
        <v>2</v>
      </c>
      <c r="E4385" s="223">
        <v>230592</v>
      </c>
    </row>
    <row r="4386" spans="1:5" ht="15">
      <c r="A4386" s="223" t="s">
        <v>362</v>
      </c>
      <c r="B4386" s="223">
        <v>24</v>
      </c>
      <c r="C4386" s="223">
        <v>26</v>
      </c>
      <c r="D4386" s="223">
        <v>3</v>
      </c>
      <c r="E4386" s="223">
        <v>77916</v>
      </c>
    </row>
    <row r="4387" spans="1:5" ht="15">
      <c r="A4387" s="223" t="s">
        <v>362</v>
      </c>
      <c r="B4387" s="223">
        <v>24</v>
      </c>
      <c r="C4387" s="223">
        <v>26</v>
      </c>
      <c r="D4387" s="223">
        <v>4</v>
      </c>
      <c r="E4387" s="223">
        <v>142396</v>
      </c>
    </row>
    <row r="4388" spans="1:5" ht="15">
      <c r="A4388" s="223" t="s">
        <v>362</v>
      </c>
      <c r="B4388" s="223">
        <v>24</v>
      </c>
      <c r="C4388" s="223">
        <v>26</v>
      </c>
      <c r="D4388" s="223">
        <v>7</v>
      </c>
      <c r="E4388" s="223">
        <v>135744</v>
      </c>
    </row>
    <row r="4389" spans="1:5" ht="15">
      <c r="A4389" s="223" t="s">
        <v>362</v>
      </c>
      <c r="B4389" s="223">
        <v>24</v>
      </c>
      <c r="C4389" s="223">
        <v>27</v>
      </c>
      <c r="D4389" s="223">
        <v>2</v>
      </c>
      <c r="E4389" s="223">
        <v>3000</v>
      </c>
    </row>
    <row r="4390" spans="1:5" ht="15">
      <c r="A4390" s="223" t="s">
        <v>362</v>
      </c>
      <c r="B4390" s="223">
        <v>24</v>
      </c>
      <c r="C4390" s="223">
        <v>27</v>
      </c>
      <c r="D4390" s="223">
        <v>3</v>
      </c>
      <c r="E4390" s="223">
        <v>15755</v>
      </c>
    </row>
    <row r="4391" spans="1:5" ht="15">
      <c r="A4391" s="223" t="s">
        <v>362</v>
      </c>
      <c r="B4391" s="223">
        <v>24</v>
      </c>
      <c r="C4391" s="223">
        <v>27</v>
      </c>
      <c r="D4391" s="223">
        <v>4</v>
      </c>
      <c r="E4391" s="223">
        <v>8288</v>
      </c>
    </row>
    <row r="4392" spans="1:5" ht="15">
      <c r="A4392" s="223" t="s">
        <v>935</v>
      </c>
      <c r="B4392" s="223">
        <v>21</v>
      </c>
      <c r="C4392" s="223">
        <v>21</v>
      </c>
      <c r="D4392" s="223">
        <v>2</v>
      </c>
      <c r="E4392" s="223">
        <v>25520</v>
      </c>
    </row>
    <row r="4393" spans="1:5" ht="15">
      <c r="A4393" s="223" t="s">
        <v>935</v>
      </c>
      <c r="B4393" s="223">
        <v>21</v>
      </c>
      <c r="C4393" s="223">
        <v>21</v>
      </c>
      <c r="D4393" s="223">
        <v>4</v>
      </c>
      <c r="E4393" s="223">
        <v>5568</v>
      </c>
    </row>
    <row r="4394" spans="1:5" ht="15">
      <c r="A4394" s="223" t="s">
        <v>935</v>
      </c>
      <c r="B4394" s="223">
        <v>21</v>
      </c>
      <c r="C4394" s="223">
        <v>26</v>
      </c>
      <c r="D4394" s="223">
        <v>5</v>
      </c>
      <c r="E4394" s="223">
        <v>3000</v>
      </c>
    </row>
    <row r="4395" spans="1:5" ht="15">
      <c r="A4395" s="223" t="s">
        <v>935</v>
      </c>
      <c r="B4395" s="223">
        <v>21</v>
      </c>
      <c r="C4395" s="223">
        <v>26</v>
      </c>
      <c r="D4395" s="223">
        <v>7</v>
      </c>
      <c r="E4395" s="223">
        <v>167800</v>
      </c>
    </row>
    <row r="4396" spans="1:5" ht="15">
      <c r="A4396" s="223" t="s">
        <v>935</v>
      </c>
      <c r="B4396" s="223">
        <v>21</v>
      </c>
      <c r="C4396" s="223">
        <v>27</v>
      </c>
      <c r="D4396" s="223">
        <v>2</v>
      </c>
      <c r="E4396" s="223">
        <v>93000</v>
      </c>
    </row>
    <row r="4397" spans="1:5" ht="15">
      <c r="A4397" s="223" t="s">
        <v>935</v>
      </c>
      <c r="B4397" s="223">
        <v>21</v>
      </c>
      <c r="C4397" s="223">
        <v>27</v>
      </c>
      <c r="D4397" s="223">
        <v>4</v>
      </c>
      <c r="E4397" s="223">
        <v>20289</v>
      </c>
    </row>
    <row r="4398" spans="1:5" ht="15">
      <c r="A4398" s="223" t="s">
        <v>935</v>
      </c>
      <c r="B4398" s="223">
        <v>23</v>
      </c>
      <c r="C4398" s="223">
        <v>27</v>
      </c>
      <c r="D4398" s="223">
        <v>2</v>
      </c>
      <c r="E4398" s="223">
        <v>66000</v>
      </c>
    </row>
    <row r="4399" spans="1:5" ht="15">
      <c r="A4399" s="223" t="s">
        <v>935</v>
      </c>
      <c r="B4399" s="223">
        <v>23</v>
      </c>
      <c r="C4399" s="223">
        <v>27</v>
      </c>
      <c r="D4399" s="223">
        <v>4</v>
      </c>
      <c r="E4399" s="223">
        <v>14399</v>
      </c>
    </row>
    <row r="4400" spans="1:5" ht="15">
      <c r="A4400" s="223" t="s">
        <v>364</v>
      </c>
      <c r="B4400" s="223">
        <v>21</v>
      </c>
      <c r="C4400" s="223">
        <v>21</v>
      </c>
      <c r="D4400" s="223">
        <v>3</v>
      </c>
      <c r="E4400" s="223">
        <v>23450</v>
      </c>
    </row>
    <row r="4401" spans="1:5" ht="15">
      <c r="A4401" s="223" t="s">
        <v>364</v>
      </c>
      <c r="B4401" s="223">
        <v>21</v>
      </c>
      <c r="C4401" s="223">
        <v>21</v>
      </c>
      <c r="D4401" s="223">
        <v>4</v>
      </c>
      <c r="E4401" s="223">
        <v>14434</v>
      </c>
    </row>
    <row r="4402" spans="1:5" ht="15">
      <c r="A4402" s="223" t="s">
        <v>364</v>
      </c>
      <c r="B4402" s="223">
        <v>21</v>
      </c>
      <c r="C4402" s="223">
        <v>21</v>
      </c>
      <c r="D4402" s="223">
        <v>5</v>
      </c>
      <c r="E4402" s="223">
        <v>700</v>
      </c>
    </row>
    <row r="4403" spans="1:5" ht="15">
      <c r="A4403" s="223" t="s">
        <v>364</v>
      </c>
      <c r="B4403" s="223">
        <v>21</v>
      </c>
      <c r="C4403" s="223">
        <v>21</v>
      </c>
      <c r="D4403" s="223">
        <v>7</v>
      </c>
      <c r="E4403" s="223">
        <v>900</v>
      </c>
    </row>
    <row r="4404" spans="1:5" ht="15">
      <c r="A4404" s="223" t="s">
        <v>364</v>
      </c>
      <c r="B4404" s="223">
        <v>21</v>
      </c>
      <c r="C4404" s="223">
        <v>26</v>
      </c>
      <c r="D4404" s="223">
        <v>5</v>
      </c>
      <c r="E4404" s="223">
        <v>5550</v>
      </c>
    </row>
    <row r="4405" spans="1:5" ht="15">
      <c r="A4405" s="223" t="s">
        <v>364</v>
      </c>
      <c r="B4405" s="223">
        <v>21</v>
      </c>
      <c r="C4405" s="223">
        <v>26</v>
      </c>
      <c r="D4405" s="223">
        <v>7</v>
      </c>
      <c r="E4405" s="223">
        <v>327060</v>
      </c>
    </row>
    <row r="4406" spans="1:5" ht="15">
      <c r="A4406" s="223" t="s">
        <v>364</v>
      </c>
      <c r="B4406" s="223">
        <v>21</v>
      </c>
      <c r="C4406" s="223">
        <v>27</v>
      </c>
      <c r="D4406" s="223">
        <v>2</v>
      </c>
      <c r="E4406" s="223">
        <v>515014</v>
      </c>
    </row>
    <row r="4407" spans="1:5" ht="15">
      <c r="A4407" s="223" t="s">
        <v>364</v>
      </c>
      <c r="B4407" s="223">
        <v>21</v>
      </c>
      <c r="C4407" s="223">
        <v>27</v>
      </c>
      <c r="D4407" s="223">
        <v>3</v>
      </c>
      <c r="E4407" s="223">
        <v>210797</v>
      </c>
    </row>
    <row r="4408" spans="1:5" ht="15">
      <c r="A4408" s="223" t="s">
        <v>364</v>
      </c>
      <c r="B4408" s="223">
        <v>21</v>
      </c>
      <c r="C4408" s="223">
        <v>27</v>
      </c>
      <c r="D4408" s="223">
        <v>4</v>
      </c>
      <c r="E4408" s="223">
        <v>346048</v>
      </c>
    </row>
    <row r="4409" spans="1:5" ht="15">
      <c r="A4409" s="223" t="s">
        <v>364</v>
      </c>
      <c r="B4409" s="223">
        <v>21</v>
      </c>
      <c r="C4409" s="223">
        <v>27</v>
      </c>
      <c r="D4409" s="223">
        <v>5</v>
      </c>
      <c r="E4409" s="223">
        <v>1500</v>
      </c>
    </row>
    <row r="4410" spans="1:5" ht="15">
      <c r="A4410" s="223" t="s">
        <v>364</v>
      </c>
      <c r="B4410" s="223">
        <v>21</v>
      </c>
      <c r="C4410" s="223">
        <v>31</v>
      </c>
      <c r="D4410" s="223">
        <v>7</v>
      </c>
      <c r="E4410" s="223">
        <v>1000</v>
      </c>
    </row>
    <row r="4411" spans="1:5" ht="15">
      <c r="A4411" s="223" t="s">
        <v>364</v>
      </c>
      <c r="B4411" s="223">
        <v>21</v>
      </c>
      <c r="C4411" s="223">
        <v>32</v>
      </c>
      <c r="D4411" s="223">
        <v>5</v>
      </c>
      <c r="E4411" s="223">
        <v>1500</v>
      </c>
    </row>
    <row r="4412" spans="1:5" ht="15">
      <c r="A4412" s="223" t="s">
        <v>364</v>
      </c>
      <c r="B4412" s="223">
        <v>21</v>
      </c>
      <c r="C4412" s="223">
        <v>32</v>
      </c>
      <c r="D4412" s="223">
        <v>7</v>
      </c>
      <c r="E4412" s="223">
        <v>2500</v>
      </c>
    </row>
    <row r="4413" spans="1:5" ht="15">
      <c r="A4413" s="223" t="s">
        <v>364</v>
      </c>
      <c r="B4413" s="223">
        <v>21</v>
      </c>
      <c r="C4413" s="223">
        <v>34</v>
      </c>
      <c r="D4413" s="223">
        <v>2</v>
      </c>
      <c r="E4413" s="223">
        <v>8489</v>
      </c>
    </row>
    <row r="4414" spans="1:5" ht="15">
      <c r="A4414" s="223" t="s">
        <v>364</v>
      </c>
      <c r="B4414" s="223">
        <v>21</v>
      </c>
      <c r="C4414" s="223">
        <v>34</v>
      </c>
      <c r="D4414" s="223">
        <v>4</v>
      </c>
      <c r="E4414" s="223">
        <v>1973</v>
      </c>
    </row>
    <row r="4415" spans="1:5" ht="15">
      <c r="A4415" s="223" t="s">
        <v>364</v>
      </c>
      <c r="B4415" s="223">
        <v>24</v>
      </c>
      <c r="C4415" s="223">
        <v>26</v>
      </c>
      <c r="D4415" s="223">
        <v>7</v>
      </c>
      <c r="E4415" s="223">
        <v>187941</v>
      </c>
    </row>
    <row r="4416" spans="1:5" ht="15">
      <c r="A4416" s="223" t="s">
        <v>364</v>
      </c>
      <c r="B4416" s="223">
        <v>24</v>
      </c>
      <c r="C4416" s="223">
        <v>27</v>
      </c>
      <c r="D4416" s="223">
        <v>5</v>
      </c>
      <c r="E4416" s="223">
        <v>1250</v>
      </c>
    </row>
    <row r="4417" spans="1:5" ht="15">
      <c r="A4417" s="223" t="s">
        <v>961</v>
      </c>
      <c r="B4417" s="223">
        <v>21</v>
      </c>
      <c r="C4417" s="223">
        <v>21</v>
      </c>
      <c r="D4417" s="223">
        <v>2</v>
      </c>
      <c r="E4417" s="223">
        <v>92892</v>
      </c>
    </row>
    <row r="4418" spans="1:5" ht="15">
      <c r="A4418" s="223" t="s">
        <v>961</v>
      </c>
      <c r="B4418" s="223">
        <v>21</v>
      </c>
      <c r="C4418" s="223">
        <v>21</v>
      </c>
      <c r="D4418" s="223">
        <v>4</v>
      </c>
      <c r="E4418" s="223">
        <v>24476</v>
      </c>
    </row>
    <row r="4419" spans="1:5" ht="15">
      <c r="A4419" s="223" t="s">
        <v>961</v>
      </c>
      <c r="B4419" s="223">
        <v>21</v>
      </c>
      <c r="C4419" s="223">
        <v>24</v>
      </c>
      <c r="D4419" s="223">
        <v>7</v>
      </c>
      <c r="E4419" s="223">
        <v>70000</v>
      </c>
    </row>
    <row r="4420" spans="1:5" ht="15">
      <c r="A4420" s="223" t="s">
        <v>961</v>
      </c>
      <c r="B4420" s="223">
        <v>21</v>
      </c>
      <c r="C4420" s="223">
        <v>26</v>
      </c>
      <c r="D4420" s="223">
        <v>7</v>
      </c>
      <c r="E4420" s="223">
        <v>120000</v>
      </c>
    </row>
    <row r="4421" spans="1:5" ht="15">
      <c r="A4421" s="223" t="s">
        <v>961</v>
      </c>
      <c r="B4421" s="223">
        <v>21</v>
      </c>
      <c r="C4421" s="223">
        <v>27</v>
      </c>
      <c r="D4421" s="223">
        <v>2</v>
      </c>
      <c r="E4421" s="223">
        <v>38249</v>
      </c>
    </row>
    <row r="4422" spans="1:5" ht="15">
      <c r="A4422" s="223" t="s">
        <v>961</v>
      </c>
      <c r="B4422" s="223">
        <v>21</v>
      </c>
      <c r="C4422" s="223">
        <v>27</v>
      </c>
      <c r="D4422" s="223">
        <v>3</v>
      </c>
      <c r="E4422" s="223">
        <v>139893</v>
      </c>
    </row>
    <row r="4423" spans="1:5" ht="15">
      <c r="A4423" s="223" t="s">
        <v>961</v>
      </c>
      <c r="B4423" s="223">
        <v>21</v>
      </c>
      <c r="C4423" s="223">
        <v>27</v>
      </c>
      <c r="D4423" s="223">
        <v>4</v>
      </c>
      <c r="E4423" s="223">
        <v>85409</v>
      </c>
    </row>
    <row r="4424" spans="1:5" ht="15">
      <c r="A4424" s="223" t="s">
        <v>961</v>
      </c>
      <c r="B4424" s="223">
        <v>21</v>
      </c>
      <c r="C4424" s="223">
        <v>27</v>
      </c>
      <c r="D4424" s="223">
        <v>7</v>
      </c>
      <c r="E4424" s="223">
        <v>60000</v>
      </c>
    </row>
    <row r="4425" spans="1:5" ht="15">
      <c r="A4425" s="223" t="s">
        <v>961</v>
      </c>
      <c r="B4425" s="223">
        <v>24</v>
      </c>
      <c r="C4425" s="223">
        <v>27</v>
      </c>
      <c r="D4425" s="223">
        <v>2</v>
      </c>
      <c r="E4425" s="223">
        <v>38250</v>
      </c>
    </row>
    <row r="4426" spans="1:5" ht="15">
      <c r="A4426" s="223" t="s">
        <v>961</v>
      </c>
      <c r="B4426" s="223">
        <v>24</v>
      </c>
      <c r="C4426" s="223">
        <v>27</v>
      </c>
      <c r="D4426" s="223">
        <v>4</v>
      </c>
      <c r="E4426" s="223">
        <v>10079</v>
      </c>
    </row>
    <row r="4427" spans="1:5" ht="15">
      <c r="A4427" s="223" t="s">
        <v>366</v>
      </c>
      <c r="B4427" s="223">
        <v>24</v>
      </c>
      <c r="C4427" s="223">
        <v>27</v>
      </c>
      <c r="D4427" s="223">
        <v>5</v>
      </c>
      <c r="E4427" s="223">
        <v>131050</v>
      </c>
    </row>
    <row r="4428" spans="1:5" ht="15">
      <c r="A4428" s="223" t="s">
        <v>368</v>
      </c>
      <c r="B4428" s="223">
        <v>21</v>
      </c>
      <c r="C4428" s="223">
        <v>21</v>
      </c>
      <c r="D4428" s="223">
        <v>2</v>
      </c>
      <c r="E4428" s="223">
        <v>69300</v>
      </c>
    </row>
    <row r="4429" spans="1:5" ht="15">
      <c r="A4429" s="223" t="s">
        <v>368</v>
      </c>
      <c r="B4429" s="223">
        <v>21</v>
      </c>
      <c r="C4429" s="223">
        <v>21</v>
      </c>
      <c r="D4429" s="223">
        <v>4</v>
      </c>
      <c r="E4429" s="223">
        <v>22969</v>
      </c>
    </row>
    <row r="4430" spans="1:5" ht="15">
      <c r="A4430" s="223" t="s">
        <v>368</v>
      </c>
      <c r="B4430" s="223">
        <v>21</v>
      </c>
      <c r="C4430" s="223">
        <v>26</v>
      </c>
      <c r="D4430" s="223">
        <v>0</v>
      </c>
      <c r="E4430" s="223">
        <v>2000</v>
      </c>
    </row>
    <row r="4431" spans="1:5" ht="15">
      <c r="A4431" s="223" t="s">
        <v>368</v>
      </c>
      <c r="B4431" s="223">
        <v>21</v>
      </c>
      <c r="C4431" s="223">
        <v>26</v>
      </c>
      <c r="D4431" s="223">
        <v>2</v>
      </c>
      <c r="E4431" s="223">
        <v>64191</v>
      </c>
    </row>
    <row r="4432" spans="1:5" ht="15">
      <c r="A4432" s="223" t="s">
        <v>368</v>
      </c>
      <c r="B4432" s="223">
        <v>21</v>
      </c>
      <c r="C4432" s="223">
        <v>26</v>
      </c>
      <c r="D4432" s="223">
        <v>4</v>
      </c>
      <c r="E4432" s="223">
        <v>26967</v>
      </c>
    </row>
    <row r="4433" spans="1:5" ht="15">
      <c r="A4433" s="223" t="s">
        <v>368</v>
      </c>
      <c r="B4433" s="223">
        <v>21</v>
      </c>
      <c r="C4433" s="223">
        <v>26</v>
      </c>
      <c r="D4433" s="223">
        <v>7</v>
      </c>
      <c r="E4433" s="223">
        <v>115250</v>
      </c>
    </row>
    <row r="4434" spans="1:5" ht="15">
      <c r="A4434" s="223" t="s">
        <v>368</v>
      </c>
      <c r="B4434" s="223">
        <v>21</v>
      </c>
      <c r="C4434" s="223">
        <v>27</v>
      </c>
      <c r="D4434" s="223">
        <v>2</v>
      </c>
      <c r="E4434" s="223">
        <v>120799</v>
      </c>
    </row>
    <row r="4435" spans="1:5" ht="15">
      <c r="A4435" s="223" t="s">
        <v>368</v>
      </c>
      <c r="B4435" s="223">
        <v>21</v>
      </c>
      <c r="C4435" s="223">
        <v>27</v>
      </c>
      <c r="D4435" s="223">
        <v>3</v>
      </c>
      <c r="E4435" s="223">
        <v>152817</v>
      </c>
    </row>
    <row r="4436" spans="1:5" ht="15">
      <c r="A4436" s="223" t="s">
        <v>368</v>
      </c>
      <c r="B4436" s="223">
        <v>21</v>
      </c>
      <c r="C4436" s="223">
        <v>27</v>
      </c>
      <c r="D4436" s="223">
        <v>4</v>
      </c>
      <c r="E4436" s="223">
        <v>139052</v>
      </c>
    </row>
    <row r="4437" spans="1:5" ht="15">
      <c r="A4437" s="223" t="s">
        <v>368</v>
      </c>
      <c r="B4437" s="223">
        <v>21</v>
      </c>
      <c r="C4437" s="223">
        <v>27</v>
      </c>
      <c r="D4437" s="223">
        <v>5</v>
      </c>
      <c r="E4437" s="223">
        <v>96792</v>
      </c>
    </row>
    <row r="4438" spans="1:5" ht="15">
      <c r="A4438" s="223" t="s">
        <v>368</v>
      </c>
      <c r="B4438" s="223">
        <v>21</v>
      </c>
      <c r="C4438" s="223">
        <v>31</v>
      </c>
      <c r="D4438" s="223">
        <v>7</v>
      </c>
      <c r="E4438" s="223">
        <v>37750</v>
      </c>
    </row>
    <row r="4439" spans="1:5" ht="15">
      <c r="A4439" s="223" t="s">
        <v>368</v>
      </c>
      <c r="B4439" s="223">
        <v>21</v>
      </c>
      <c r="C4439" s="223">
        <v>31</v>
      </c>
      <c r="D4439" s="223">
        <v>8</v>
      </c>
      <c r="E4439" s="223">
        <v>800</v>
      </c>
    </row>
    <row r="4440" spans="1:5" ht="15">
      <c r="A4440" s="223" t="s">
        <v>368</v>
      </c>
      <c r="B4440" s="223">
        <v>21</v>
      </c>
      <c r="C4440" s="223">
        <v>33</v>
      </c>
      <c r="D4440" s="223">
        <v>5</v>
      </c>
      <c r="E4440" s="223">
        <v>7750</v>
      </c>
    </row>
    <row r="4441" spans="1:5" ht="15">
      <c r="A4441" s="223" t="s">
        <v>368</v>
      </c>
      <c r="B4441" s="223">
        <v>24</v>
      </c>
      <c r="C4441" s="223">
        <v>27</v>
      </c>
      <c r="D4441" s="223">
        <v>2</v>
      </c>
      <c r="E4441" s="223">
        <v>79814</v>
      </c>
    </row>
    <row r="4442" spans="1:5" ht="15">
      <c r="A4442" s="223" t="s">
        <v>368</v>
      </c>
      <c r="B4442" s="223">
        <v>24</v>
      </c>
      <c r="C4442" s="223">
        <v>27</v>
      </c>
      <c r="D4442" s="223">
        <v>3</v>
      </c>
      <c r="E4442" s="223">
        <v>17944</v>
      </c>
    </row>
    <row r="4443" spans="1:5" ht="15">
      <c r="A4443" s="223" t="s">
        <v>368</v>
      </c>
      <c r="B4443" s="223">
        <v>24</v>
      </c>
      <c r="C4443" s="223">
        <v>27</v>
      </c>
      <c r="D4443" s="223">
        <v>4</v>
      </c>
      <c r="E4443" s="223">
        <v>43010</v>
      </c>
    </row>
    <row r="4444" spans="1:5" ht="15">
      <c r="A4444" s="223" t="s">
        <v>368</v>
      </c>
      <c r="B4444" s="223">
        <v>24</v>
      </c>
      <c r="C4444" s="223">
        <v>27</v>
      </c>
      <c r="D4444" s="223">
        <v>5</v>
      </c>
      <c r="E4444" s="223">
        <v>11932</v>
      </c>
    </row>
    <row r="4445" spans="1:5" ht="15">
      <c r="A4445" s="223" t="s">
        <v>370</v>
      </c>
      <c r="B4445" s="223">
        <v>21</v>
      </c>
      <c r="C4445" s="223">
        <v>21</v>
      </c>
      <c r="D4445" s="223">
        <v>2</v>
      </c>
      <c r="E4445" s="223">
        <v>604420</v>
      </c>
    </row>
    <row r="4446" spans="1:5" ht="15">
      <c r="A4446" s="223" t="s">
        <v>370</v>
      </c>
      <c r="B4446" s="223">
        <v>21</v>
      </c>
      <c r="C4446" s="223">
        <v>21</v>
      </c>
      <c r="D4446" s="223">
        <v>3</v>
      </c>
      <c r="E4446" s="223">
        <v>513313</v>
      </c>
    </row>
    <row r="4447" spans="1:5" ht="15">
      <c r="A4447" s="223" t="s">
        <v>370</v>
      </c>
      <c r="B4447" s="223">
        <v>21</v>
      </c>
      <c r="C4447" s="223">
        <v>21</v>
      </c>
      <c r="D4447" s="223">
        <v>4</v>
      </c>
      <c r="E4447" s="223">
        <v>367934</v>
      </c>
    </row>
    <row r="4448" spans="1:5" ht="15">
      <c r="A4448" s="223" t="s">
        <v>370</v>
      </c>
      <c r="B4448" s="223">
        <v>21</v>
      </c>
      <c r="C4448" s="223">
        <v>21</v>
      </c>
      <c r="D4448" s="223">
        <v>5</v>
      </c>
      <c r="E4448" s="223">
        <v>15300</v>
      </c>
    </row>
    <row r="4449" spans="1:5" ht="15">
      <c r="A4449" s="223" t="s">
        <v>370</v>
      </c>
      <c r="B4449" s="223">
        <v>21</v>
      </c>
      <c r="C4449" s="223">
        <v>23</v>
      </c>
      <c r="D4449" s="223">
        <v>2</v>
      </c>
      <c r="E4449" s="223">
        <v>266343</v>
      </c>
    </row>
    <row r="4450" spans="1:5" ht="15">
      <c r="A4450" s="223" t="s">
        <v>370</v>
      </c>
      <c r="B4450" s="223">
        <v>21</v>
      </c>
      <c r="C4450" s="223">
        <v>23</v>
      </c>
      <c r="D4450" s="223">
        <v>3</v>
      </c>
      <c r="E4450" s="223">
        <v>187390</v>
      </c>
    </row>
    <row r="4451" spans="1:5" ht="15">
      <c r="A4451" s="223" t="s">
        <v>370</v>
      </c>
      <c r="B4451" s="223">
        <v>21</v>
      </c>
      <c r="C4451" s="223">
        <v>23</v>
      </c>
      <c r="D4451" s="223">
        <v>4</v>
      </c>
      <c r="E4451" s="223">
        <v>178097</v>
      </c>
    </row>
    <row r="4452" spans="1:5" ht="15">
      <c r="A4452" s="223" t="s">
        <v>370</v>
      </c>
      <c r="B4452" s="223">
        <v>21</v>
      </c>
      <c r="C4452" s="223">
        <v>24</v>
      </c>
      <c r="D4452" s="223">
        <v>2</v>
      </c>
      <c r="E4452" s="223">
        <v>109525</v>
      </c>
    </row>
    <row r="4453" spans="1:5" ht="15">
      <c r="A4453" s="223" t="s">
        <v>370</v>
      </c>
      <c r="B4453" s="223">
        <v>21</v>
      </c>
      <c r="C4453" s="223">
        <v>24</v>
      </c>
      <c r="D4453" s="223">
        <v>4</v>
      </c>
      <c r="E4453" s="223">
        <v>38279</v>
      </c>
    </row>
    <row r="4454" spans="1:5" ht="15">
      <c r="A4454" s="223" t="s">
        <v>370</v>
      </c>
      <c r="B4454" s="223">
        <v>21</v>
      </c>
      <c r="C4454" s="223">
        <v>25</v>
      </c>
      <c r="D4454" s="223">
        <v>3</v>
      </c>
      <c r="E4454" s="223">
        <v>316412</v>
      </c>
    </row>
    <row r="4455" spans="1:5" ht="15">
      <c r="A4455" s="223" t="s">
        <v>370</v>
      </c>
      <c r="B4455" s="223">
        <v>21</v>
      </c>
      <c r="C4455" s="223">
        <v>25</v>
      </c>
      <c r="D4455" s="223">
        <v>4</v>
      </c>
      <c r="E4455" s="223">
        <v>153233</v>
      </c>
    </row>
    <row r="4456" spans="1:5" ht="15">
      <c r="A4456" s="223" t="s">
        <v>370</v>
      </c>
      <c r="B4456" s="223">
        <v>21</v>
      </c>
      <c r="C4456" s="223">
        <v>26</v>
      </c>
      <c r="D4456" s="223">
        <v>2</v>
      </c>
      <c r="E4456" s="223">
        <v>6529813</v>
      </c>
    </row>
    <row r="4457" spans="1:5" ht="15">
      <c r="A4457" s="223" t="s">
        <v>370</v>
      </c>
      <c r="B4457" s="223">
        <v>21</v>
      </c>
      <c r="C4457" s="223">
        <v>26</v>
      </c>
      <c r="D4457" s="223">
        <v>3</v>
      </c>
      <c r="E4457" s="223">
        <v>983408</v>
      </c>
    </row>
    <row r="4458" spans="1:5" ht="15">
      <c r="A4458" s="223" t="s">
        <v>370</v>
      </c>
      <c r="B4458" s="223">
        <v>21</v>
      </c>
      <c r="C4458" s="223">
        <v>26</v>
      </c>
      <c r="D4458" s="223">
        <v>4</v>
      </c>
      <c r="E4458" s="223">
        <v>2939156</v>
      </c>
    </row>
    <row r="4459" spans="1:5" ht="15">
      <c r="A4459" s="223" t="s">
        <v>370</v>
      </c>
      <c r="B4459" s="223">
        <v>21</v>
      </c>
      <c r="C4459" s="223">
        <v>26</v>
      </c>
      <c r="D4459" s="223">
        <v>5</v>
      </c>
      <c r="E4459" s="223">
        <v>4430</v>
      </c>
    </row>
    <row r="4460" spans="1:5" ht="15">
      <c r="A4460" s="223" t="s">
        <v>370</v>
      </c>
      <c r="B4460" s="223">
        <v>21</v>
      </c>
      <c r="C4460" s="223">
        <v>26</v>
      </c>
      <c r="D4460" s="223">
        <v>7</v>
      </c>
      <c r="E4460" s="223">
        <v>187100</v>
      </c>
    </row>
    <row r="4461" spans="1:5" ht="15">
      <c r="A4461" s="223" t="s">
        <v>370</v>
      </c>
      <c r="B4461" s="223">
        <v>21</v>
      </c>
      <c r="C4461" s="223">
        <v>26</v>
      </c>
      <c r="D4461" s="223">
        <v>8</v>
      </c>
      <c r="E4461" s="223">
        <v>3400</v>
      </c>
    </row>
    <row r="4462" spans="1:5" ht="15">
      <c r="A4462" s="223" t="s">
        <v>370</v>
      </c>
      <c r="B4462" s="223">
        <v>21</v>
      </c>
      <c r="C4462" s="223">
        <v>27</v>
      </c>
      <c r="D4462" s="223">
        <v>2</v>
      </c>
      <c r="E4462" s="223">
        <v>9381568</v>
      </c>
    </row>
    <row r="4463" spans="1:5" ht="15">
      <c r="A4463" s="223" t="s">
        <v>370</v>
      </c>
      <c r="B4463" s="223">
        <v>21</v>
      </c>
      <c r="C4463" s="223">
        <v>27</v>
      </c>
      <c r="D4463" s="223">
        <v>3</v>
      </c>
      <c r="E4463" s="223">
        <v>9175942</v>
      </c>
    </row>
    <row r="4464" spans="1:5" ht="15">
      <c r="A4464" s="223" t="s">
        <v>370</v>
      </c>
      <c r="B4464" s="223">
        <v>21</v>
      </c>
      <c r="C4464" s="223">
        <v>27</v>
      </c>
      <c r="D4464" s="223">
        <v>4</v>
      </c>
      <c r="E4464" s="223">
        <v>8798238</v>
      </c>
    </row>
    <row r="4465" spans="1:5" ht="15">
      <c r="A4465" s="223" t="s">
        <v>370</v>
      </c>
      <c r="B4465" s="223">
        <v>21</v>
      </c>
      <c r="C4465" s="223">
        <v>27</v>
      </c>
      <c r="D4465" s="223">
        <v>5</v>
      </c>
      <c r="E4465" s="223">
        <v>29178</v>
      </c>
    </row>
    <row r="4466" spans="1:5" ht="15">
      <c r="A4466" s="223" t="s">
        <v>370</v>
      </c>
      <c r="B4466" s="223">
        <v>21</v>
      </c>
      <c r="C4466" s="223">
        <v>27</v>
      </c>
      <c r="D4466" s="223">
        <v>7</v>
      </c>
      <c r="E4466" s="223">
        <v>65000</v>
      </c>
    </row>
    <row r="4467" spans="1:5" ht="15">
      <c r="A4467" s="223" t="s">
        <v>370</v>
      </c>
      <c r="B4467" s="223">
        <v>21</v>
      </c>
      <c r="C4467" s="223">
        <v>27</v>
      </c>
      <c r="D4467" s="223">
        <v>8</v>
      </c>
      <c r="E4467" s="223">
        <v>3000</v>
      </c>
    </row>
    <row r="4468" spans="1:5" ht="15">
      <c r="A4468" s="223" t="s">
        <v>370</v>
      </c>
      <c r="B4468" s="223">
        <v>21</v>
      </c>
      <c r="C4468" s="223">
        <v>31</v>
      </c>
      <c r="D4468" s="223">
        <v>2</v>
      </c>
      <c r="E4468" s="223">
        <v>456959</v>
      </c>
    </row>
    <row r="4469" spans="1:5" ht="15">
      <c r="A4469" s="223" t="s">
        <v>370</v>
      </c>
      <c r="B4469" s="223">
        <v>21</v>
      </c>
      <c r="C4469" s="223">
        <v>31</v>
      </c>
      <c r="D4469" s="223">
        <v>3</v>
      </c>
      <c r="E4469" s="223">
        <v>4115</v>
      </c>
    </row>
    <row r="4470" spans="1:5" ht="15">
      <c r="A4470" s="223" t="s">
        <v>370</v>
      </c>
      <c r="B4470" s="223">
        <v>21</v>
      </c>
      <c r="C4470" s="223">
        <v>31</v>
      </c>
      <c r="D4470" s="223">
        <v>4</v>
      </c>
      <c r="E4470" s="223">
        <v>164776</v>
      </c>
    </row>
    <row r="4471" spans="1:5" ht="15">
      <c r="A4471" s="223" t="s">
        <v>370</v>
      </c>
      <c r="B4471" s="223">
        <v>21</v>
      </c>
      <c r="C4471" s="223">
        <v>31</v>
      </c>
      <c r="D4471" s="223">
        <v>7</v>
      </c>
      <c r="E4471" s="223">
        <v>12319</v>
      </c>
    </row>
    <row r="4472" spans="1:5" ht="15">
      <c r="A4472" s="223" t="s">
        <v>370</v>
      </c>
      <c r="B4472" s="223">
        <v>24</v>
      </c>
      <c r="C4472" s="223">
        <v>26</v>
      </c>
      <c r="D4472" s="223">
        <v>2</v>
      </c>
      <c r="E4472" s="223">
        <v>68148</v>
      </c>
    </row>
    <row r="4473" spans="1:5" ht="15">
      <c r="A4473" s="223" t="s">
        <v>370</v>
      </c>
      <c r="B4473" s="223">
        <v>24</v>
      </c>
      <c r="C4473" s="223">
        <v>26</v>
      </c>
      <c r="D4473" s="223">
        <v>3</v>
      </c>
      <c r="E4473" s="223">
        <v>24013</v>
      </c>
    </row>
    <row r="4474" spans="1:5" ht="15">
      <c r="A4474" s="223" t="s">
        <v>370</v>
      </c>
      <c r="B4474" s="223">
        <v>24</v>
      </c>
      <c r="C4474" s="223">
        <v>26</v>
      </c>
      <c r="D4474" s="223">
        <v>4</v>
      </c>
      <c r="E4474" s="223">
        <v>20767</v>
      </c>
    </row>
    <row r="4475" spans="1:5" ht="15">
      <c r="A4475" s="223" t="s">
        <v>370</v>
      </c>
      <c r="B4475" s="223">
        <v>24</v>
      </c>
      <c r="C4475" s="223">
        <v>27</v>
      </c>
      <c r="D4475" s="223">
        <v>2</v>
      </c>
      <c r="E4475" s="223">
        <v>2140895</v>
      </c>
    </row>
    <row r="4476" spans="1:5" ht="15">
      <c r="A4476" s="223" t="s">
        <v>370</v>
      </c>
      <c r="B4476" s="223">
        <v>24</v>
      </c>
      <c r="C4476" s="223">
        <v>27</v>
      </c>
      <c r="D4476" s="223">
        <v>3</v>
      </c>
      <c r="E4476" s="223">
        <v>2112</v>
      </c>
    </row>
    <row r="4477" spans="1:5" ht="15">
      <c r="A4477" s="223" t="s">
        <v>370</v>
      </c>
      <c r="B4477" s="223">
        <v>24</v>
      </c>
      <c r="C4477" s="223">
        <v>27</v>
      </c>
      <c r="D4477" s="223">
        <v>4</v>
      </c>
      <c r="E4477" s="223">
        <v>741330</v>
      </c>
    </row>
    <row r="4478" spans="1:5" ht="15">
      <c r="A4478" s="223" t="s">
        <v>370</v>
      </c>
      <c r="B4478" s="223">
        <v>24</v>
      </c>
      <c r="C4478" s="223">
        <v>27</v>
      </c>
      <c r="D4478" s="223">
        <v>5</v>
      </c>
      <c r="E4478" s="223">
        <v>66859</v>
      </c>
    </row>
    <row r="4479" spans="1:5" ht="15">
      <c r="A4479" s="223" t="s">
        <v>370</v>
      </c>
      <c r="B4479" s="223">
        <v>24</v>
      </c>
      <c r="C4479" s="223">
        <v>31</v>
      </c>
      <c r="D4479" s="223">
        <v>2</v>
      </c>
      <c r="E4479" s="223">
        <v>229378</v>
      </c>
    </row>
    <row r="4480" spans="1:5" ht="15">
      <c r="A4480" s="223" t="s">
        <v>370</v>
      </c>
      <c r="B4480" s="223">
        <v>24</v>
      </c>
      <c r="C4480" s="223">
        <v>31</v>
      </c>
      <c r="D4480" s="223">
        <v>4</v>
      </c>
      <c r="E4480" s="223">
        <v>54227</v>
      </c>
    </row>
    <row r="4481" spans="1:5" ht="15">
      <c r="A4481" s="223" t="s">
        <v>372</v>
      </c>
      <c r="B4481" s="223">
        <v>21</v>
      </c>
      <c r="C4481" s="223">
        <v>21</v>
      </c>
      <c r="D4481" s="223">
        <v>2</v>
      </c>
      <c r="E4481" s="223">
        <v>23151</v>
      </c>
    </row>
    <row r="4482" spans="1:5" ht="15">
      <c r="A4482" s="223" t="s">
        <v>372</v>
      </c>
      <c r="B4482" s="223">
        <v>21</v>
      </c>
      <c r="C4482" s="223">
        <v>21</v>
      </c>
      <c r="D4482" s="223">
        <v>4</v>
      </c>
      <c r="E4482" s="223">
        <v>9028</v>
      </c>
    </row>
    <row r="4483" spans="1:5" ht="15">
      <c r="A4483" s="223" t="s">
        <v>372</v>
      </c>
      <c r="B4483" s="223">
        <v>21</v>
      </c>
      <c r="C4483" s="223">
        <v>26</v>
      </c>
      <c r="D4483" s="223">
        <v>7</v>
      </c>
      <c r="E4483" s="223">
        <v>86639</v>
      </c>
    </row>
    <row r="4484" spans="1:5" ht="15">
      <c r="A4484" s="223" t="s">
        <v>372</v>
      </c>
      <c r="B4484" s="223">
        <v>21</v>
      </c>
      <c r="C4484" s="223">
        <v>27</v>
      </c>
      <c r="D4484" s="223">
        <v>2</v>
      </c>
      <c r="E4484" s="223">
        <v>161710</v>
      </c>
    </row>
    <row r="4485" spans="1:5" ht="15">
      <c r="A4485" s="223" t="s">
        <v>372</v>
      </c>
      <c r="B4485" s="223">
        <v>21</v>
      </c>
      <c r="C4485" s="223">
        <v>27</v>
      </c>
      <c r="D4485" s="223">
        <v>3</v>
      </c>
      <c r="E4485" s="223">
        <v>80167</v>
      </c>
    </row>
    <row r="4486" spans="1:5" ht="15">
      <c r="A4486" s="223" t="s">
        <v>372</v>
      </c>
      <c r="B4486" s="223">
        <v>21</v>
      </c>
      <c r="C4486" s="223">
        <v>27</v>
      </c>
      <c r="D4486" s="223">
        <v>4</v>
      </c>
      <c r="E4486" s="223">
        <v>129602</v>
      </c>
    </row>
    <row r="4487" spans="1:5" ht="15">
      <c r="A4487" s="223" t="s">
        <v>372</v>
      </c>
      <c r="B4487" s="223">
        <v>21</v>
      </c>
      <c r="C4487" s="223">
        <v>27</v>
      </c>
      <c r="D4487" s="223">
        <v>5</v>
      </c>
      <c r="E4487" s="223">
        <v>1500</v>
      </c>
    </row>
    <row r="4488" spans="1:5" ht="15">
      <c r="A4488" s="223" t="s">
        <v>372</v>
      </c>
      <c r="B4488" s="223">
        <v>21</v>
      </c>
      <c r="C4488" s="223">
        <v>27</v>
      </c>
      <c r="D4488" s="223">
        <v>7</v>
      </c>
      <c r="E4488" s="223">
        <v>15500</v>
      </c>
    </row>
    <row r="4489" spans="1:5" ht="15">
      <c r="A4489" s="223" t="s">
        <v>372</v>
      </c>
      <c r="B4489" s="223">
        <v>21</v>
      </c>
      <c r="C4489" s="223">
        <v>33</v>
      </c>
      <c r="D4489" s="223">
        <v>5</v>
      </c>
      <c r="E4489" s="223">
        <v>5000</v>
      </c>
    </row>
    <row r="4490" spans="1:5" ht="15">
      <c r="A4490" s="223" t="s">
        <v>372</v>
      </c>
      <c r="B4490" s="223">
        <v>21</v>
      </c>
      <c r="C4490" s="223">
        <v>34</v>
      </c>
      <c r="D4490" s="223">
        <v>7</v>
      </c>
      <c r="E4490" s="223">
        <v>3000</v>
      </c>
    </row>
    <row r="4491" spans="1:5" ht="15">
      <c r="A4491" s="223" t="s">
        <v>372</v>
      </c>
      <c r="B4491" s="223">
        <v>21</v>
      </c>
      <c r="C4491" s="223">
        <v>34</v>
      </c>
      <c r="D4491" s="223">
        <v>8</v>
      </c>
      <c r="E4491" s="223">
        <v>3339</v>
      </c>
    </row>
    <row r="4492" spans="1:5" ht="15">
      <c r="A4492" s="223" t="s">
        <v>372</v>
      </c>
      <c r="B4492" s="223">
        <v>24</v>
      </c>
      <c r="C4492" s="223">
        <v>27</v>
      </c>
      <c r="D4492" s="223">
        <v>5</v>
      </c>
      <c r="E4492" s="223">
        <v>10000</v>
      </c>
    </row>
    <row r="4493" spans="1:5" ht="15">
      <c r="A4493" s="223" t="s">
        <v>372</v>
      </c>
      <c r="B4493" s="223">
        <v>24</v>
      </c>
      <c r="C4493" s="223">
        <v>27</v>
      </c>
      <c r="D4493" s="223">
        <v>7</v>
      </c>
      <c r="E4493" s="223">
        <v>71639</v>
      </c>
    </row>
    <row r="4494" spans="1:5" ht="15">
      <c r="A4494" s="223" t="s">
        <v>374</v>
      </c>
      <c r="B4494" s="223">
        <v>21</v>
      </c>
      <c r="C4494" s="223">
        <v>21</v>
      </c>
      <c r="D4494" s="223">
        <v>0</v>
      </c>
      <c r="E4494" s="223">
        <v>300</v>
      </c>
    </row>
    <row r="4495" spans="1:5" ht="15">
      <c r="A4495" s="223" t="s">
        <v>374</v>
      </c>
      <c r="B4495" s="223">
        <v>21</v>
      </c>
      <c r="C4495" s="223">
        <v>21</v>
      </c>
      <c r="D4495" s="223">
        <v>2</v>
      </c>
      <c r="E4495" s="223">
        <v>739762</v>
      </c>
    </row>
    <row r="4496" spans="1:5" ht="15">
      <c r="A4496" s="223" t="s">
        <v>374</v>
      </c>
      <c r="B4496" s="223">
        <v>21</v>
      </c>
      <c r="C4496" s="223">
        <v>21</v>
      </c>
      <c r="D4496" s="223">
        <v>3</v>
      </c>
      <c r="E4496" s="223">
        <v>192372</v>
      </c>
    </row>
    <row r="4497" spans="1:5" ht="15">
      <c r="A4497" s="223" t="s">
        <v>374</v>
      </c>
      <c r="B4497" s="223">
        <v>21</v>
      </c>
      <c r="C4497" s="223">
        <v>21</v>
      </c>
      <c r="D4497" s="223">
        <v>4</v>
      </c>
      <c r="E4497" s="223">
        <v>316613</v>
      </c>
    </row>
    <row r="4498" spans="1:5" ht="15">
      <c r="A4498" s="223" t="s">
        <v>374</v>
      </c>
      <c r="B4498" s="223">
        <v>21</v>
      </c>
      <c r="C4498" s="223">
        <v>21</v>
      </c>
      <c r="D4498" s="223">
        <v>5</v>
      </c>
      <c r="E4498" s="223">
        <v>11000</v>
      </c>
    </row>
    <row r="4499" spans="1:5" ht="15">
      <c r="A4499" s="223" t="s">
        <v>374</v>
      </c>
      <c r="B4499" s="223">
        <v>21</v>
      </c>
      <c r="C4499" s="223">
        <v>21</v>
      </c>
      <c r="D4499" s="223">
        <v>7</v>
      </c>
      <c r="E4499" s="223">
        <v>106100</v>
      </c>
    </row>
    <row r="4500" spans="1:5" ht="15">
      <c r="A4500" s="223" t="s">
        <v>374</v>
      </c>
      <c r="B4500" s="223">
        <v>21</v>
      </c>
      <c r="C4500" s="223">
        <v>21</v>
      </c>
      <c r="D4500" s="223">
        <v>8</v>
      </c>
      <c r="E4500" s="223">
        <v>4025</v>
      </c>
    </row>
    <row r="4501" spans="1:5" ht="15">
      <c r="A4501" s="223" t="s">
        <v>374</v>
      </c>
      <c r="B4501" s="223">
        <v>21</v>
      </c>
      <c r="C4501" s="223">
        <v>21</v>
      </c>
      <c r="D4501" s="223">
        <v>9</v>
      </c>
      <c r="E4501" s="223">
        <v>3000</v>
      </c>
    </row>
    <row r="4502" spans="1:5" ht="15">
      <c r="A4502" s="223" t="s">
        <v>374</v>
      </c>
      <c r="B4502" s="223">
        <v>21</v>
      </c>
      <c r="C4502" s="223">
        <v>25</v>
      </c>
      <c r="D4502" s="223">
        <v>3</v>
      </c>
      <c r="E4502" s="223">
        <v>220137</v>
      </c>
    </row>
    <row r="4503" spans="1:5" ht="15">
      <c r="A4503" s="223" t="s">
        <v>374</v>
      </c>
      <c r="B4503" s="223">
        <v>21</v>
      </c>
      <c r="C4503" s="223">
        <v>25</v>
      </c>
      <c r="D4503" s="223">
        <v>4</v>
      </c>
      <c r="E4503" s="223">
        <v>180671</v>
      </c>
    </row>
    <row r="4504" spans="1:5" ht="15">
      <c r="A4504" s="223" t="s">
        <v>374</v>
      </c>
      <c r="B4504" s="223">
        <v>21</v>
      </c>
      <c r="C4504" s="223">
        <v>26</v>
      </c>
      <c r="D4504" s="223">
        <v>0</v>
      </c>
      <c r="E4504" s="223">
        <v>575</v>
      </c>
    </row>
    <row r="4505" spans="1:5" ht="15">
      <c r="A4505" s="223" t="s">
        <v>374</v>
      </c>
      <c r="B4505" s="223">
        <v>21</v>
      </c>
      <c r="C4505" s="223">
        <v>26</v>
      </c>
      <c r="D4505" s="223">
        <v>2</v>
      </c>
      <c r="E4505" s="223">
        <v>4307199</v>
      </c>
    </row>
    <row r="4506" spans="1:5" ht="15">
      <c r="A4506" s="223" t="s">
        <v>374</v>
      </c>
      <c r="B4506" s="223">
        <v>21</v>
      </c>
      <c r="C4506" s="223">
        <v>26</v>
      </c>
      <c r="D4506" s="223">
        <v>3</v>
      </c>
      <c r="E4506" s="223">
        <v>202653</v>
      </c>
    </row>
    <row r="4507" spans="1:5" ht="15">
      <c r="A4507" s="223" t="s">
        <v>374</v>
      </c>
      <c r="B4507" s="223">
        <v>21</v>
      </c>
      <c r="C4507" s="223">
        <v>26</v>
      </c>
      <c r="D4507" s="223">
        <v>4</v>
      </c>
      <c r="E4507" s="223">
        <v>1736889</v>
      </c>
    </row>
    <row r="4508" spans="1:5" ht="15">
      <c r="A4508" s="223" t="s">
        <v>374</v>
      </c>
      <c r="B4508" s="223">
        <v>21</v>
      </c>
      <c r="C4508" s="223">
        <v>26</v>
      </c>
      <c r="D4508" s="223">
        <v>5</v>
      </c>
      <c r="E4508" s="223">
        <v>30200</v>
      </c>
    </row>
    <row r="4509" spans="1:5" ht="15">
      <c r="A4509" s="223" t="s">
        <v>374</v>
      </c>
      <c r="B4509" s="223">
        <v>21</v>
      </c>
      <c r="C4509" s="223">
        <v>26</v>
      </c>
      <c r="D4509" s="223">
        <v>7</v>
      </c>
      <c r="E4509" s="223">
        <v>129924</v>
      </c>
    </row>
    <row r="4510" spans="1:5" ht="15">
      <c r="A4510" s="223" t="s">
        <v>374</v>
      </c>
      <c r="B4510" s="223">
        <v>21</v>
      </c>
      <c r="C4510" s="223">
        <v>26</v>
      </c>
      <c r="D4510" s="223">
        <v>8</v>
      </c>
      <c r="E4510" s="223">
        <v>7950</v>
      </c>
    </row>
    <row r="4511" spans="1:5" ht="15">
      <c r="A4511" s="223" t="s">
        <v>374</v>
      </c>
      <c r="B4511" s="223">
        <v>21</v>
      </c>
      <c r="C4511" s="223">
        <v>27</v>
      </c>
      <c r="D4511" s="223">
        <v>0</v>
      </c>
      <c r="E4511" s="223">
        <v>1500</v>
      </c>
    </row>
    <row r="4512" spans="1:5" ht="15">
      <c r="A4512" s="223" t="s">
        <v>374</v>
      </c>
      <c r="B4512" s="223">
        <v>21</v>
      </c>
      <c r="C4512" s="223">
        <v>27</v>
      </c>
      <c r="D4512" s="223">
        <v>2</v>
      </c>
      <c r="E4512" s="223">
        <v>6811033</v>
      </c>
    </row>
    <row r="4513" spans="1:5" ht="15">
      <c r="A4513" s="223" t="s">
        <v>374</v>
      </c>
      <c r="B4513" s="223">
        <v>21</v>
      </c>
      <c r="C4513" s="223">
        <v>27</v>
      </c>
      <c r="D4513" s="223">
        <v>3</v>
      </c>
      <c r="E4513" s="223">
        <v>4120645</v>
      </c>
    </row>
    <row r="4514" spans="1:5" ht="15">
      <c r="A4514" s="223" t="s">
        <v>374</v>
      </c>
      <c r="B4514" s="223">
        <v>21</v>
      </c>
      <c r="C4514" s="223">
        <v>27</v>
      </c>
      <c r="D4514" s="223">
        <v>4</v>
      </c>
      <c r="E4514" s="223">
        <v>5525353</v>
      </c>
    </row>
    <row r="4515" spans="1:5" ht="15">
      <c r="A4515" s="223" t="s">
        <v>374</v>
      </c>
      <c r="B4515" s="223">
        <v>21</v>
      </c>
      <c r="C4515" s="223">
        <v>27</v>
      </c>
      <c r="D4515" s="223">
        <v>5</v>
      </c>
      <c r="E4515" s="223">
        <v>61600</v>
      </c>
    </row>
    <row r="4516" spans="1:5" ht="15">
      <c r="A4516" s="223" t="s">
        <v>374</v>
      </c>
      <c r="B4516" s="223">
        <v>21</v>
      </c>
      <c r="C4516" s="223">
        <v>27</v>
      </c>
      <c r="D4516" s="223">
        <v>7</v>
      </c>
      <c r="E4516" s="223">
        <v>471500</v>
      </c>
    </row>
    <row r="4517" spans="1:5" ht="15">
      <c r="A4517" s="223" t="s">
        <v>374</v>
      </c>
      <c r="B4517" s="223">
        <v>21</v>
      </c>
      <c r="C4517" s="223">
        <v>27</v>
      </c>
      <c r="D4517" s="223">
        <v>8</v>
      </c>
      <c r="E4517" s="223">
        <v>4000</v>
      </c>
    </row>
    <row r="4518" spans="1:5" ht="15">
      <c r="A4518" s="223" t="s">
        <v>374</v>
      </c>
      <c r="B4518" s="223">
        <v>21</v>
      </c>
      <c r="C4518" s="223">
        <v>31</v>
      </c>
      <c r="D4518" s="223">
        <v>2</v>
      </c>
      <c r="E4518" s="223">
        <v>117669</v>
      </c>
    </row>
    <row r="4519" spans="1:5" ht="15">
      <c r="A4519" s="223" t="s">
        <v>374</v>
      </c>
      <c r="B4519" s="223">
        <v>21</v>
      </c>
      <c r="C4519" s="223">
        <v>31</v>
      </c>
      <c r="D4519" s="223">
        <v>3</v>
      </c>
      <c r="E4519" s="223">
        <v>28462</v>
      </c>
    </row>
    <row r="4520" spans="1:5" ht="15">
      <c r="A4520" s="223" t="s">
        <v>374</v>
      </c>
      <c r="B4520" s="223">
        <v>21</v>
      </c>
      <c r="C4520" s="223">
        <v>31</v>
      </c>
      <c r="D4520" s="223">
        <v>4</v>
      </c>
      <c r="E4520" s="223">
        <v>36018</v>
      </c>
    </row>
    <row r="4521" spans="1:5" ht="15">
      <c r="A4521" s="223" t="s">
        <v>374</v>
      </c>
      <c r="B4521" s="223">
        <v>21</v>
      </c>
      <c r="C4521" s="223">
        <v>31</v>
      </c>
      <c r="D4521" s="223">
        <v>5</v>
      </c>
      <c r="E4521" s="223">
        <v>13515</v>
      </c>
    </row>
    <row r="4522" spans="1:5" ht="15">
      <c r="A4522" s="223" t="s">
        <v>374</v>
      </c>
      <c r="B4522" s="223">
        <v>21</v>
      </c>
      <c r="C4522" s="223">
        <v>31</v>
      </c>
      <c r="D4522" s="223">
        <v>7</v>
      </c>
      <c r="E4522" s="223">
        <v>28099</v>
      </c>
    </row>
    <row r="4523" spans="1:5" ht="15">
      <c r="A4523" s="223" t="s">
        <v>374</v>
      </c>
      <c r="B4523" s="223">
        <v>21</v>
      </c>
      <c r="C4523" s="223">
        <v>32</v>
      </c>
      <c r="D4523" s="223">
        <v>5</v>
      </c>
      <c r="E4523" s="223">
        <v>20000</v>
      </c>
    </row>
    <row r="4524" spans="1:5" ht="15">
      <c r="A4524" s="223" t="s">
        <v>374</v>
      </c>
      <c r="B4524" s="223">
        <v>23</v>
      </c>
      <c r="C4524" s="223">
        <v>33</v>
      </c>
      <c r="D4524" s="223">
        <v>5</v>
      </c>
      <c r="E4524" s="223">
        <v>258435</v>
      </c>
    </row>
    <row r="4525" spans="1:5" ht="15">
      <c r="A4525" s="223" t="s">
        <v>374</v>
      </c>
      <c r="B4525" s="223">
        <v>24</v>
      </c>
      <c r="C4525" s="223">
        <v>27</v>
      </c>
      <c r="D4525" s="223">
        <v>2</v>
      </c>
      <c r="E4525" s="223">
        <v>1906053</v>
      </c>
    </row>
    <row r="4526" spans="1:5" ht="15">
      <c r="A4526" s="223" t="s">
        <v>374</v>
      </c>
      <c r="B4526" s="223">
        <v>24</v>
      </c>
      <c r="C4526" s="223">
        <v>27</v>
      </c>
      <c r="D4526" s="223">
        <v>4</v>
      </c>
      <c r="E4526" s="223">
        <v>707353</v>
      </c>
    </row>
    <row r="4527" spans="1:5" ht="15">
      <c r="A4527" s="223" t="s">
        <v>376</v>
      </c>
      <c r="B4527" s="223">
        <v>21</v>
      </c>
      <c r="C4527" s="223">
        <v>21</v>
      </c>
      <c r="D4527" s="223">
        <v>2</v>
      </c>
      <c r="E4527" s="223">
        <v>112540</v>
      </c>
    </row>
    <row r="4528" spans="1:5" ht="15">
      <c r="A4528" s="223" t="s">
        <v>376</v>
      </c>
      <c r="B4528" s="223">
        <v>21</v>
      </c>
      <c r="C4528" s="223">
        <v>21</v>
      </c>
      <c r="D4528" s="223">
        <v>3</v>
      </c>
      <c r="E4528" s="223">
        <v>92006</v>
      </c>
    </row>
    <row r="4529" spans="1:5" ht="15">
      <c r="A4529" s="223" t="s">
        <v>376</v>
      </c>
      <c r="B4529" s="223">
        <v>21</v>
      </c>
      <c r="C4529" s="223">
        <v>21</v>
      </c>
      <c r="D4529" s="223">
        <v>4</v>
      </c>
      <c r="E4529" s="223">
        <v>54666</v>
      </c>
    </row>
    <row r="4530" spans="1:5" ht="15">
      <c r="A4530" s="223" t="s">
        <v>376</v>
      </c>
      <c r="B4530" s="223">
        <v>21</v>
      </c>
      <c r="C4530" s="223">
        <v>21</v>
      </c>
      <c r="D4530" s="223">
        <v>5</v>
      </c>
      <c r="E4530" s="223">
        <v>500</v>
      </c>
    </row>
    <row r="4531" spans="1:5" ht="15">
      <c r="A4531" s="223" t="s">
        <v>376</v>
      </c>
      <c r="B4531" s="223">
        <v>21</v>
      </c>
      <c r="C4531" s="223">
        <v>21</v>
      </c>
      <c r="D4531" s="223">
        <v>7</v>
      </c>
      <c r="E4531" s="223">
        <v>6100</v>
      </c>
    </row>
    <row r="4532" spans="1:5" ht="15">
      <c r="A4532" s="223" t="s">
        <v>376</v>
      </c>
      <c r="B4532" s="223">
        <v>21</v>
      </c>
      <c r="C4532" s="223">
        <v>21</v>
      </c>
      <c r="D4532" s="223">
        <v>8</v>
      </c>
      <c r="E4532" s="223">
        <v>3250</v>
      </c>
    </row>
    <row r="4533" spans="1:5" ht="15">
      <c r="A4533" s="223" t="s">
        <v>376</v>
      </c>
      <c r="B4533" s="223">
        <v>21</v>
      </c>
      <c r="C4533" s="223">
        <v>26</v>
      </c>
      <c r="D4533" s="223">
        <v>2</v>
      </c>
      <c r="E4533" s="223">
        <v>1199289</v>
      </c>
    </row>
    <row r="4534" spans="1:5" ht="15">
      <c r="A4534" s="223" t="s">
        <v>376</v>
      </c>
      <c r="B4534" s="223">
        <v>21</v>
      </c>
      <c r="C4534" s="223">
        <v>26</v>
      </c>
      <c r="D4534" s="223">
        <v>4</v>
      </c>
      <c r="E4534" s="223">
        <v>425985</v>
      </c>
    </row>
    <row r="4535" spans="1:5" ht="15">
      <c r="A4535" s="223" t="s">
        <v>376</v>
      </c>
      <c r="B4535" s="223">
        <v>21</v>
      </c>
      <c r="C4535" s="223">
        <v>26</v>
      </c>
      <c r="D4535" s="223">
        <v>5</v>
      </c>
      <c r="E4535" s="223">
        <v>16600</v>
      </c>
    </row>
    <row r="4536" spans="1:5" ht="15">
      <c r="A4536" s="223" t="s">
        <v>376</v>
      </c>
      <c r="B4536" s="223">
        <v>21</v>
      </c>
      <c r="C4536" s="223">
        <v>26</v>
      </c>
      <c r="D4536" s="223">
        <v>7</v>
      </c>
      <c r="E4536" s="223">
        <v>63750</v>
      </c>
    </row>
    <row r="4537" spans="1:5" ht="15">
      <c r="A4537" s="223" t="s">
        <v>376</v>
      </c>
      <c r="B4537" s="223">
        <v>21</v>
      </c>
      <c r="C4537" s="223">
        <v>26</v>
      </c>
      <c r="D4537" s="223">
        <v>8</v>
      </c>
      <c r="E4537" s="223">
        <v>1500</v>
      </c>
    </row>
    <row r="4538" spans="1:5" ht="15">
      <c r="A4538" s="223" t="s">
        <v>376</v>
      </c>
      <c r="B4538" s="223">
        <v>21</v>
      </c>
      <c r="C4538" s="223">
        <v>27</v>
      </c>
      <c r="D4538" s="223">
        <v>2</v>
      </c>
      <c r="E4538" s="223">
        <v>1438574</v>
      </c>
    </row>
    <row r="4539" spans="1:5" ht="15">
      <c r="A4539" s="223" t="s">
        <v>376</v>
      </c>
      <c r="B4539" s="223">
        <v>21</v>
      </c>
      <c r="C4539" s="223">
        <v>27</v>
      </c>
      <c r="D4539" s="223">
        <v>3</v>
      </c>
      <c r="E4539" s="223">
        <v>887348</v>
      </c>
    </row>
    <row r="4540" spans="1:5" ht="15">
      <c r="A4540" s="223" t="s">
        <v>376</v>
      </c>
      <c r="B4540" s="223">
        <v>21</v>
      </c>
      <c r="C4540" s="223">
        <v>27</v>
      </c>
      <c r="D4540" s="223">
        <v>4</v>
      </c>
      <c r="E4540" s="223">
        <v>1054635</v>
      </c>
    </row>
    <row r="4541" spans="1:5" ht="15">
      <c r="A4541" s="223" t="s">
        <v>376</v>
      </c>
      <c r="B4541" s="223">
        <v>21</v>
      </c>
      <c r="C4541" s="223">
        <v>27</v>
      </c>
      <c r="D4541" s="223">
        <v>5</v>
      </c>
      <c r="E4541" s="223">
        <v>21500</v>
      </c>
    </row>
    <row r="4542" spans="1:5" ht="15">
      <c r="A4542" s="223" t="s">
        <v>376</v>
      </c>
      <c r="B4542" s="223">
        <v>21</v>
      </c>
      <c r="C4542" s="223">
        <v>27</v>
      </c>
      <c r="D4542" s="223">
        <v>7</v>
      </c>
      <c r="E4542" s="223">
        <v>100000</v>
      </c>
    </row>
    <row r="4543" spans="1:5" ht="15">
      <c r="A4543" s="223" t="s">
        <v>376</v>
      </c>
      <c r="B4543" s="223">
        <v>21</v>
      </c>
      <c r="C4543" s="223">
        <v>27</v>
      </c>
      <c r="D4543" s="223">
        <v>8</v>
      </c>
      <c r="E4543" s="223">
        <v>2300</v>
      </c>
    </row>
    <row r="4544" spans="1:5" ht="15">
      <c r="A4544" s="223" t="s">
        <v>376</v>
      </c>
      <c r="B4544" s="223">
        <v>21</v>
      </c>
      <c r="C4544" s="223">
        <v>29</v>
      </c>
      <c r="D4544" s="223">
        <v>7</v>
      </c>
      <c r="E4544" s="223">
        <v>90000</v>
      </c>
    </row>
    <row r="4545" spans="1:5" ht="15">
      <c r="A4545" s="223" t="s">
        <v>376</v>
      </c>
      <c r="B4545" s="223">
        <v>21</v>
      </c>
      <c r="C4545" s="223">
        <v>31</v>
      </c>
      <c r="D4545" s="223">
        <v>2</v>
      </c>
      <c r="E4545" s="223">
        <v>101103</v>
      </c>
    </row>
    <row r="4546" spans="1:5" ht="15">
      <c r="A4546" s="223" t="s">
        <v>376</v>
      </c>
      <c r="B4546" s="223">
        <v>21</v>
      </c>
      <c r="C4546" s="223">
        <v>31</v>
      </c>
      <c r="D4546" s="223">
        <v>4</v>
      </c>
      <c r="E4546" s="223">
        <v>28171</v>
      </c>
    </row>
    <row r="4547" spans="1:5" ht="15">
      <c r="A4547" s="223" t="s">
        <v>376</v>
      </c>
      <c r="B4547" s="223">
        <v>21</v>
      </c>
      <c r="C4547" s="223">
        <v>31</v>
      </c>
      <c r="D4547" s="223">
        <v>7</v>
      </c>
      <c r="E4547" s="223">
        <v>9500</v>
      </c>
    </row>
    <row r="4548" spans="1:5" ht="15">
      <c r="A4548" s="223" t="s">
        <v>376</v>
      </c>
      <c r="B4548" s="223">
        <v>21</v>
      </c>
      <c r="C4548" s="223">
        <v>31</v>
      </c>
      <c r="D4548" s="223">
        <v>8</v>
      </c>
      <c r="E4548" s="223">
        <v>850</v>
      </c>
    </row>
    <row r="4549" spans="1:5" ht="15">
      <c r="A4549" s="223" t="s">
        <v>376</v>
      </c>
      <c r="B4549" s="223">
        <v>21</v>
      </c>
      <c r="C4549" s="223">
        <v>32</v>
      </c>
      <c r="D4549" s="223">
        <v>5</v>
      </c>
      <c r="E4549" s="223">
        <v>5500</v>
      </c>
    </row>
    <row r="4550" spans="1:5" ht="15">
      <c r="A4550" s="223" t="s">
        <v>376</v>
      </c>
      <c r="B4550" s="223">
        <v>21</v>
      </c>
      <c r="C4550" s="223">
        <v>33</v>
      </c>
      <c r="D4550" s="223">
        <v>5</v>
      </c>
      <c r="E4550" s="223">
        <v>6000</v>
      </c>
    </row>
    <row r="4551" spans="1:5" ht="15">
      <c r="A4551" s="223" t="s">
        <v>376</v>
      </c>
      <c r="B4551" s="223">
        <v>21</v>
      </c>
      <c r="C4551" s="223">
        <v>33</v>
      </c>
      <c r="D4551" s="223">
        <v>7</v>
      </c>
      <c r="E4551" s="223">
        <v>2700</v>
      </c>
    </row>
    <row r="4552" spans="1:5" ht="15">
      <c r="A4552" s="223" t="s">
        <v>376</v>
      </c>
      <c r="B4552" s="223">
        <v>21</v>
      </c>
      <c r="C4552" s="223">
        <v>34</v>
      </c>
      <c r="D4552" s="223">
        <v>2</v>
      </c>
      <c r="E4552" s="223">
        <v>47362</v>
      </c>
    </row>
    <row r="4553" spans="1:5" ht="15">
      <c r="A4553" s="223" t="s">
        <v>376</v>
      </c>
      <c r="B4553" s="223">
        <v>21</v>
      </c>
      <c r="C4553" s="223">
        <v>34</v>
      </c>
      <c r="D4553" s="223">
        <v>4</v>
      </c>
      <c r="E4553" s="223">
        <v>10823</v>
      </c>
    </row>
    <row r="4554" spans="1:5" ht="15">
      <c r="A4554" s="223" t="s">
        <v>376</v>
      </c>
      <c r="B4554" s="223">
        <v>23</v>
      </c>
      <c r="C4554" s="223">
        <v>27</v>
      </c>
      <c r="D4554" s="223">
        <v>3</v>
      </c>
      <c r="E4554" s="223">
        <v>24926</v>
      </c>
    </row>
    <row r="4555" spans="1:5" ht="15">
      <c r="A4555" s="223" t="s">
        <v>376</v>
      </c>
      <c r="B4555" s="223">
        <v>23</v>
      </c>
      <c r="C4555" s="223">
        <v>27</v>
      </c>
      <c r="D4555" s="223">
        <v>4</v>
      </c>
      <c r="E4555" s="223">
        <v>17629</v>
      </c>
    </row>
    <row r="4556" spans="1:5" ht="15">
      <c r="A4556" s="223" t="s">
        <v>376</v>
      </c>
      <c r="B4556" s="223">
        <v>24</v>
      </c>
      <c r="C4556" s="223">
        <v>27</v>
      </c>
      <c r="D4556" s="223">
        <v>2</v>
      </c>
      <c r="E4556" s="223">
        <v>632300</v>
      </c>
    </row>
    <row r="4557" spans="1:5" ht="15">
      <c r="A4557" s="223" t="s">
        <v>376</v>
      </c>
      <c r="B4557" s="223">
        <v>24</v>
      </c>
      <c r="C4557" s="223">
        <v>27</v>
      </c>
      <c r="D4557" s="223">
        <v>3</v>
      </c>
      <c r="E4557" s="223">
        <v>24926</v>
      </c>
    </row>
    <row r="4558" spans="1:5" ht="15">
      <c r="A4558" s="223" t="s">
        <v>376</v>
      </c>
      <c r="B4558" s="223">
        <v>24</v>
      </c>
      <c r="C4558" s="223">
        <v>27</v>
      </c>
      <c r="D4558" s="223">
        <v>4</v>
      </c>
      <c r="E4558" s="223">
        <v>276416</v>
      </c>
    </row>
    <row r="4559" spans="1:5" ht="15">
      <c r="A4559" s="223" t="s">
        <v>378</v>
      </c>
      <c r="B4559" s="223">
        <v>21</v>
      </c>
      <c r="C4559" s="223">
        <v>26</v>
      </c>
      <c r="D4559" s="223">
        <v>7</v>
      </c>
      <c r="E4559" s="223">
        <v>56000</v>
      </c>
    </row>
    <row r="4560" spans="1:5" ht="15">
      <c r="A4560" s="223" t="s">
        <v>378</v>
      </c>
      <c r="B4560" s="223">
        <v>21</v>
      </c>
      <c r="C4560" s="223">
        <v>27</v>
      </c>
      <c r="D4560" s="223">
        <v>2</v>
      </c>
      <c r="E4560" s="223">
        <v>113216</v>
      </c>
    </row>
    <row r="4561" spans="1:5" ht="15">
      <c r="A4561" s="223" t="s">
        <v>378</v>
      </c>
      <c r="B4561" s="223">
        <v>21</v>
      </c>
      <c r="C4561" s="223">
        <v>27</v>
      </c>
      <c r="D4561" s="223">
        <v>3</v>
      </c>
      <c r="E4561" s="223">
        <v>62231</v>
      </c>
    </row>
    <row r="4562" spans="1:5" ht="15">
      <c r="A4562" s="223" t="s">
        <v>378</v>
      </c>
      <c r="B4562" s="223">
        <v>21</v>
      </c>
      <c r="C4562" s="223">
        <v>27</v>
      </c>
      <c r="D4562" s="223">
        <v>4</v>
      </c>
      <c r="E4562" s="223">
        <v>91991</v>
      </c>
    </row>
    <row r="4563" spans="1:5" ht="15">
      <c r="A4563" s="223" t="s">
        <v>378</v>
      </c>
      <c r="B4563" s="223">
        <v>21</v>
      </c>
      <c r="C4563" s="223">
        <v>27</v>
      </c>
      <c r="D4563" s="223">
        <v>5</v>
      </c>
      <c r="E4563" s="223">
        <v>900</v>
      </c>
    </row>
    <row r="4564" spans="1:5" ht="15">
      <c r="A4564" s="223" t="s">
        <v>378</v>
      </c>
      <c r="B4564" s="223">
        <v>24</v>
      </c>
      <c r="C4564" s="223">
        <v>26</v>
      </c>
      <c r="D4564" s="223">
        <v>7</v>
      </c>
      <c r="E4564" s="223">
        <v>79057</v>
      </c>
    </row>
    <row r="4565" spans="1:5" ht="15">
      <c r="A4565" s="223" t="s">
        <v>380</v>
      </c>
      <c r="B4565" s="223">
        <v>21</v>
      </c>
      <c r="C4565" s="223">
        <v>21</v>
      </c>
      <c r="D4565" s="223">
        <v>2</v>
      </c>
      <c r="E4565" s="223">
        <v>56000</v>
      </c>
    </row>
    <row r="4566" spans="1:5" ht="15">
      <c r="A4566" s="223" t="s">
        <v>380</v>
      </c>
      <c r="B4566" s="223">
        <v>21</v>
      </c>
      <c r="C4566" s="223">
        <v>21</v>
      </c>
      <c r="D4566" s="223">
        <v>3</v>
      </c>
      <c r="E4566" s="223">
        <v>17192</v>
      </c>
    </row>
    <row r="4567" spans="1:5" ht="15">
      <c r="A4567" s="223" t="s">
        <v>380</v>
      </c>
      <c r="B4567" s="223">
        <v>21</v>
      </c>
      <c r="C4567" s="223">
        <v>21</v>
      </c>
      <c r="D4567" s="223">
        <v>4</v>
      </c>
      <c r="E4567" s="223">
        <v>28388</v>
      </c>
    </row>
    <row r="4568" spans="1:5" ht="15">
      <c r="A4568" s="223" t="s">
        <v>380</v>
      </c>
      <c r="B4568" s="223">
        <v>21</v>
      </c>
      <c r="C4568" s="223">
        <v>21</v>
      </c>
      <c r="D4568" s="223">
        <v>5</v>
      </c>
      <c r="E4568" s="223">
        <v>440</v>
      </c>
    </row>
    <row r="4569" spans="1:5" ht="15">
      <c r="A4569" s="223" t="s">
        <v>380</v>
      </c>
      <c r="B4569" s="223">
        <v>21</v>
      </c>
      <c r="C4569" s="223">
        <v>21</v>
      </c>
      <c r="D4569" s="223">
        <v>7</v>
      </c>
      <c r="E4569" s="223">
        <v>3533</v>
      </c>
    </row>
    <row r="4570" spans="1:5" ht="15">
      <c r="A4570" s="223" t="s">
        <v>380</v>
      </c>
      <c r="B4570" s="223">
        <v>21</v>
      </c>
      <c r="C4570" s="223">
        <v>25</v>
      </c>
      <c r="D4570" s="223">
        <v>3</v>
      </c>
      <c r="E4570" s="223">
        <v>10884</v>
      </c>
    </row>
    <row r="4571" spans="1:5" ht="15">
      <c r="A4571" s="223" t="s">
        <v>380</v>
      </c>
      <c r="B4571" s="223">
        <v>21</v>
      </c>
      <c r="C4571" s="223">
        <v>25</v>
      </c>
      <c r="D4571" s="223">
        <v>4</v>
      </c>
      <c r="E4571" s="223">
        <v>8316</v>
      </c>
    </row>
    <row r="4572" spans="1:5" ht="15">
      <c r="A4572" s="223" t="s">
        <v>380</v>
      </c>
      <c r="B4572" s="223">
        <v>21</v>
      </c>
      <c r="C4572" s="223">
        <v>26</v>
      </c>
      <c r="D4572" s="223">
        <v>2</v>
      </c>
      <c r="E4572" s="223">
        <v>423216</v>
      </c>
    </row>
    <row r="4573" spans="1:5" ht="15">
      <c r="A4573" s="223" t="s">
        <v>380</v>
      </c>
      <c r="B4573" s="223">
        <v>21</v>
      </c>
      <c r="C4573" s="223">
        <v>26</v>
      </c>
      <c r="D4573" s="223">
        <v>3</v>
      </c>
      <c r="E4573" s="223">
        <v>46345</v>
      </c>
    </row>
    <row r="4574" spans="1:5" ht="15">
      <c r="A4574" s="223" t="s">
        <v>380</v>
      </c>
      <c r="B4574" s="223">
        <v>21</v>
      </c>
      <c r="C4574" s="223">
        <v>26</v>
      </c>
      <c r="D4574" s="223">
        <v>4</v>
      </c>
      <c r="E4574" s="223">
        <v>190640</v>
      </c>
    </row>
    <row r="4575" spans="1:5" ht="15">
      <c r="A4575" s="223" t="s">
        <v>380</v>
      </c>
      <c r="B4575" s="223">
        <v>21</v>
      </c>
      <c r="C4575" s="223">
        <v>26</v>
      </c>
      <c r="D4575" s="223">
        <v>5</v>
      </c>
      <c r="E4575" s="223">
        <v>7708</v>
      </c>
    </row>
    <row r="4576" spans="1:5" ht="15">
      <c r="A4576" s="223" t="s">
        <v>380</v>
      </c>
      <c r="B4576" s="223">
        <v>21</v>
      </c>
      <c r="C4576" s="223">
        <v>26</v>
      </c>
      <c r="D4576" s="223">
        <v>7</v>
      </c>
      <c r="E4576" s="223">
        <v>11113</v>
      </c>
    </row>
    <row r="4577" spans="1:5" ht="15">
      <c r="A4577" s="223" t="s">
        <v>380</v>
      </c>
      <c r="B4577" s="223">
        <v>21</v>
      </c>
      <c r="C4577" s="223">
        <v>26</v>
      </c>
      <c r="D4577" s="223">
        <v>8</v>
      </c>
      <c r="E4577" s="223">
        <v>1061</v>
      </c>
    </row>
    <row r="4578" spans="1:5" ht="15">
      <c r="A4578" s="223" t="s">
        <v>380</v>
      </c>
      <c r="B4578" s="223">
        <v>21</v>
      </c>
      <c r="C4578" s="223">
        <v>27</v>
      </c>
      <c r="D4578" s="223">
        <v>2</v>
      </c>
      <c r="E4578" s="223">
        <v>702732</v>
      </c>
    </row>
    <row r="4579" spans="1:5" ht="15">
      <c r="A4579" s="223" t="s">
        <v>380</v>
      </c>
      <c r="B4579" s="223">
        <v>21</v>
      </c>
      <c r="C4579" s="223">
        <v>27</v>
      </c>
      <c r="D4579" s="223">
        <v>3</v>
      </c>
      <c r="E4579" s="223">
        <v>231909</v>
      </c>
    </row>
    <row r="4580" spans="1:5" ht="15">
      <c r="A4580" s="223" t="s">
        <v>380</v>
      </c>
      <c r="B4580" s="223">
        <v>21</v>
      </c>
      <c r="C4580" s="223">
        <v>27</v>
      </c>
      <c r="D4580" s="223">
        <v>4</v>
      </c>
      <c r="E4580" s="223">
        <v>466395</v>
      </c>
    </row>
    <row r="4581" spans="1:5" ht="15">
      <c r="A4581" s="223" t="s">
        <v>380</v>
      </c>
      <c r="B4581" s="223">
        <v>21</v>
      </c>
      <c r="C4581" s="223">
        <v>27</v>
      </c>
      <c r="D4581" s="223">
        <v>5</v>
      </c>
      <c r="E4581" s="223">
        <v>1794</v>
      </c>
    </row>
    <row r="4582" spans="1:5" ht="15">
      <c r="A4582" s="223" t="s">
        <v>380</v>
      </c>
      <c r="B4582" s="223">
        <v>21</v>
      </c>
      <c r="C4582" s="223">
        <v>27</v>
      </c>
      <c r="D4582" s="223">
        <v>7</v>
      </c>
      <c r="E4582" s="223">
        <v>1556</v>
      </c>
    </row>
    <row r="4583" spans="1:5" ht="15">
      <c r="A4583" s="223" t="s">
        <v>380</v>
      </c>
      <c r="B4583" s="223">
        <v>21</v>
      </c>
      <c r="C4583" s="223">
        <v>27</v>
      </c>
      <c r="D4583" s="223">
        <v>8</v>
      </c>
      <c r="E4583" s="223">
        <v>380</v>
      </c>
    </row>
    <row r="4584" spans="1:5" ht="15">
      <c r="A4584" s="223" t="s">
        <v>380</v>
      </c>
      <c r="B4584" s="223">
        <v>21</v>
      </c>
      <c r="C4584" s="223">
        <v>32</v>
      </c>
      <c r="D4584" s="223">
        <v>5</v>
      </c>
      <c r="E4584" s="223">
        <v>1709</v>
      </c>
    </row>
    <row r="4585" spans="1:5" ht="15">
      <c r="A4585" s="223" t="s">
        <v>380</v>
      </c>
      <c r="B4585" s="223">
        <v>21</v>
      </c>
      <c r="C4585" s="223">
        <v>33</v>
      </c>
      <c r="D4585" s="223">
        <v>5</v>
      </c>
      <c r="E4585" s="223">
        <v>739</v>
      </c>
    </row>
    <row r="4586" spans="1:5" ht="15">
      <c r="A4586" s="223" t="s">
        <v>380</v>
      </c>
      <c r="B4586" s="223">
        <v>21</v>
      </c>
      <c r="C4586" s="223">
        <v>33</v>
      </c>
      <c r="D4586" s="223">
        <v>7</v>
      </c>
      <c r="E4586" s="223">
        <v>1297</v>
      </c>
    </row>
    <row r="4587" spans="1:5" ht="15">
      <c r="A4587" s="223" t="s">
        <v>380</v>
      </c>
      <c r="B4587" s="223">
        <v>21</v>
      </c>
      <c r="C4587" s="223">
        <v>34</v>
      </c>
      <c r="D4587" s="223">
        <v>2</v>
      </c>
      <c r="E4587" s="223">
        <v>19237</v>
      </c>
    </row>
    <row r="4588" spans="1:5" ht="15">
      <c r="A4588" s="223" t="s">
        <v>380</v>
      </c>
      <c r="B4588" s="223">
        <v>21</v>
      </c>
      <c r="C4588" s="223">
        <v>34</v>
      </c>
      <c r="D4588" s="223">
        <v>4</v>
      </c>
      <c r="E4588" s="223">
        <v>4326</v>
      </c>
    </row>
    <row r="4589" spans="1:5" ht="15">
      <c r="A4589" s="223" t="s">
        <v>380</v>
      </c>
      <c r="B4589" s="223">
        <v>24</v>
      </c>
      <c r="C4589" s="223">
        <v>27</v>
      </c>
      <c r="D4589" s="223">
        <v>2</v>
      </c>
      <c r="E4589" s="223">
        <v>10843</v>
      </c>
    </row>
    <row r="4590" spans="1:5" ht="15">
      <c r="A4590" s="223" t="s">
        <v>380</v>
      </c>
      <c r="B4590" s="223">
        <v>24</v>
      </c>
      <c r="C4590" s="223">
        <v>27</v>
      </c>
      <c r="D4590" s="223">
        <v>3</v>
      </c>
      <c r="E4590" s="223">
        <v>208880</v>
      </c>
    </row>
    <row r="4591" spans="1:5" ht="15">
      <c r="A4591" s="223" t="s">
        <v>380</v>
      </c>
      <c r="B4591" s="223">
        <v>24</v>
      </c>
      <c r="C4591" s="223">
        <v>27</v>
      </c>
      <c r="D4591" s="223">
        <v>4</v>
      </c>
      <c r="E4591" s="223">
        <v>166963</v>
      </c>
    </row>
    <row r="4592" spans="1:5" ht="15">
      <c r="A4592" s="223" t="s">
        <v>380</v>
      </c>
      <c r="B4592" s="223">
        <v>24</v>
      </c>
      <c r="C4592" s="223">
        <v>27</v>
      </c>
      <c r="D4592" s="223">
        <v>7</v>
      </c>
      <c r="E4592" s="223">
        <v>101</v>
      </c>
    </row>
    <row r="4593" spans="1:5" ht="15">
      <c r="A4593" s="223" t="s">
        <v>382</v>
      </c>
      <c r="B4593" s="223">
        <v>21</v>
      </c>
      <c r="C4593" s="223">
        <v>21</v>
      </c>
      <c r="D4593" s="223">
        <v>2</v>
      </c>
      <c r="E4593" s="223">
        <v>189043</v>
      </c>
    </row>
    <row r="4594" spans="1:5" ht="15">
      <c r="A4594" s="223" t="s">
        <v>382</v>
      </c>
      <c r="B4594" s="223">
        <v>21</v>
      </c>
      <c r="C4594" s="223">
        <v>21</v>
      </c>
      <c r="D4594" s="223">
        <v>3</v>
      </c>
      <c r="E4594" s="223">
        <v>115918</v>
      </c>
    </row>
    <row r="4595" spans="1:5" ht="15">
      <c r="A4595" s="223" t="s">
        <v>382</v>
      </c>
      <c r="B4595" s="223">
        <v>21</v>
      </c>
      <c r="C4595" s="223">
        <v>21</v>
      </c>
      <c r="D4595" s="223">
        <v>4</v>
      </c>
      <c r="E4595" s="223">
        <v>98443</v>
      </c>
    </row>
    <row r="4596" spans="1:5" ht="15">
      <c r="A4596" s="223" t="s">
        <v>382</v>
      </c>
      <c r="B4596" s="223">
        <v>21</v>
      </c>
      <c r="C4596" s="223">
        <v>21</v>
      </c>
      <c r="D4596" s="223">
        <v>5</v>
      </c>
      <c r="E4596" s="223">
        <v>7500</v>
      </c>
    </row>
    <row r="4597" spans="1:5" ht="15">
      <c r="A4597" s="223" t="s">
        <v>382</v>
      </c>
      <c r="B4597" s="223">
        <v>21</v>
      </c>
      <c r="C4597" s="223">
        <v>21</v>
      </c>
      <c r="D4597" s="223">
        <v>7</v>
      </c>
      <c r="E4597" s="223">
        <v>15100</v>
      </c>
    </row>
    <row r="4598" spans="1:5" ht="15">
      <c r="A4598" s="223" t="s">
        <v>382</v>
      </c>
      <c r="B4598" s="223">
        <v>21</v>
      </c>
      <c r="C4598" s="223">
        <v>21</v>
      </c>
      <c r="D4598" s="223">
        <v>8</v>
      </c>
      <c r="E4598" s="223">
        <v>5270</v>
      </c>
    </row>
    <row r="4599" spans="1:5" ht="15">
      <c r="A4599" s="223" t="s">
        <v>382</v>
      </c>
      <c r="B4599" s="223">
        <v>21</v>
      </c>
      <c r="C4599" s="223">
        <v>26</v>
      </c>
      <c r="D4599" s="223">
        <v>2</v>
      </c>
      <c r="E4599" s="223">
        <v>747391</v>
      </c>
    </row>
    <row r="4600" spans="1:5" ht="15">
      <c r="A4600" s="223" t="s">
        <v>382</v>
      </c>
      <c r="B4600" s="223">
        <v>21</v>
      </c>
      <c r="C4600" s="223">
        <v>26</v>
      </c>
      <c r="D4600" s="223">
        <v>3</v>
      </c>
      <c r="E4600" s="223">
        <v>17585</v>
      </c>
    </row>
    <row r="4601" spans="1:5" ht="15">
      <c r="A4601" s="223" t="s">
        <v>382</v>
      </c>
      <c r="B4601" s="223">
        <v>21</v>
      </c>
      <c r="C4601" s="223">
        <v>26</v>
      </c>
      <c r="D4601" s="223">
        <v>4</v>
      </c>
      <c r="E4601" s="223">
        <v>276004</v>
      </c>
    </row>
    <row r="4602" spans="1:5" ht="15">
      <c r="A4602" s="223" t="s">
        <v>382</v>
      </c>
      <c r="B4602" s="223">
        <v>21</v>
      </c>
      <c r="C4602" s="223">
        <v>27</v>
      </c>
      <c r="D4602" s="223">
        <v>2</v>
      </c>
      <c r="E4602" s="223">
        <v>1436639</v>
      </c>
    </row>
    <row r="4603" spans="1:5" ht="15">
      <c r="A4603" s="223" t="s">
        <v>382</v>
      </c>
      <c r="B4603" s="223">
        <v>21</v>
      </c>
      <c r="C4603" s="223">
        <v>27</v>
      </c>
      <c r="D4603" s="223">
        <v>3</v>
      </c>
      <c r="E4603" s="223">
        <v>337839</v>
      </c>
    </row>
    <row r="4604" spans="1:5" ht="15">
      <c r="A4604" s="223" t="s">
        <v>382</v>
      </c>
      <c r="B4604" s="223">
        <v>21</v>
      </c>
      <c r="C4604" s="223">
        <v>27</v>
      </c>
      <c r="D4604" s="223">
        <v>4</v>
      </c>
      <c r="E4604" s="223">
        <v>731911</v>
      </c>
    </row>
    <row r="4605" spans="1:5" ht="15">
      <c r="A4605" s="223" t="s">
        <v>382</v>
      </c>
      <c r="B4605" s="223">
        <v>21</v>
      </c>
      <c r="C4605" s="223">
        <v>27</v>
      </c>
      <c r="D4605" s="223">
        <v>5</v>
      </c>
      <c r="E4605" s="223">
        <v>72300</v>
      </c>
    </row>
    <row r="4606" spans="1:5" ht="15">
      <c r="A4606" s="223" t="s">
        <v>382</v>
      </c>
      <c r="B4606" s="223">
        <v>21</v>
      </c>
      <c r="C4606" s="223">
        <v>27</v>
      </c>
      <c r="D4606" s="223">
        <v>7</v>
      </c>
      <c r="E4606" s="223">
        <v>914220</v>
      </c>
    </row>
    <row r="4607" spans="1:5" ht="15">
      <c r="A4607" s="223" t="s">
        <v>382</v>
      </c>
      <c r="B4607" s="223">
        <v>21</v>
      </c>
      <c r="C4607" s="223">
        <v>31</v>
      </c>
      <c r="D4607" s="223">
        <v>2</v>
      </c>
      <c r="E4607" s="223">
        <v>255972</v>
      </c>
    </row>
    <row r="4608" spans="1:5" ht="15">
      <c r="A4608" s="223" t="s">
        <v>382</v>
      </c>
      <c r="B4608" s="223">
        <v>21</v>
      </c>
      <c r="C4608" s="223">
        <v>31</v>
      </c>
      <c r="D4608" s="223">
        <v>4</v>
      </c>
      <c r="E4608" s="223">
        <v>56584</v>
      </c>
    </row>
    <row r="4609" spans="1:5" ht="15">
      <c r="A4609" s="223" t="s">
        <v>382</v>
      </c>
      <c r="B4609" s="223">
        <v>21</v>
      </c>
      <c r="C4609" s="223">
        <v>31</v>
      </c>
      <c r="D4609" s="223">
        <v>7</v>
      </c>
      <c r="E4609" s="223">
        <v>121535</v>
      </c>
    </row>
    <row r="4610" spans="1:5" ht="15">
      <c r="A4610" s="223" t="s">
        <v>382</v>
      </c>
      <c r="B4610" s="223">
        <v>21</v>
      </c>
      <c r="C4610" s="223">
        <v>34</v>
      </c>
      <c r="D4610" s="223">
        <v>2</v>
      </c>
      <c r="E4610" s="223">
        <v>31938</v>
      </c>
    </row>
    <row r="4611" spans="1:5" ht="15">
      <c r="A4611" s="223" t="s">
        <v>382</v>
      </c>
      <c r="B4611" s="223">
        <v>21</v>
      </c>
      <c r="C4611" s="223">
        <v>34</v>
      </c>
      <c r="D4611" s="223">
        <v>4</v>
      </c>
      <c r="E4611" s="223">
        <v>7070</v>
      </c>
    </row>
    <row r="4612" spans="1:5" ht="15">
      <c r="A4612" s="223" t="s">
        <v>382</v>
      </c>
      <c r="B4612" s="223">
        <v>24</v>
      </c>
      <c r="C4612" s="223">
        <v>27</v>
      </c>
      <c r="D4612" s="223">
        <v>2</v>
      </c>
      <c r="E4612" s="223">
        <v>120423</v>
      </c>
    </row>
    <row r="4613" spans="1:5" ht="15">
      <c r="A4613" s="223" t="s">
        <v>382</v>
      </c>
      <c r="B4613" s="223">
        <v>24</v>
      </c>
      <c r="C4613" s="223">
        <v>27</v>
      </c>
      <c r="D4613" s="223">
        <v>3</v>
      </c>
      <c r="E4613" s="223">
        <v>291222</v>
      </c>
    </row>
    <row r="4614" spans="1:5" ht="15">
      <c r="A4614" s="223" t="s">
        <v>382</v>
      </c>
      <c r="B4614" s="223">
        <v>24</v>
      </c>
      <c r="C4614" s="223">
        <v>27</v>
      </c>
      <c r="D4614" s="223">
        <v>4</v>
      </c>
      <c r="E4614" s="223">
        <v>236715</v>
      </c>
    </row>
    <row r="4615" spans="1:5" ht="15">
      <c r="A4615" s="223" t="s">
        <v>382</v>
      </c>
      <c r="B4615" s="223">
        <v>24</v>
      </c>
      <c r="C4615" s="223">
        <v>31</v>
      </c>
      <c r="D4615" s="223">
        <v>2</v>
      </c>
      <c r="E4615" s="223">
        <v>12469</v>
      </c>
    </row>
    <row r="4616" spans="1:5" ht="15">
      <c r="A4616" s="223" t="s">
        <v>382</v>
      </c>
      <c r="B4616" s="223">
        <v>24</v>
      </c>
      <c r="C4616" s="223">
        <v>31</v>
      </c>
      <c r="D4616" s="223">
        <v>4</v>
      </c>
      <c r="E4616" s="223">
        <v>2335</v>
      </c>
    </row>
    <row r="4617" spans="1:5" ht="15">
      <c r="A4617" s="223" t="s">
        <v>270</v>
      </c>
      <c r="B4617" s="223">
        <v>21</v>
      </c>
      <c r="C4617" s="223">
        <v>21</v>
      </c>
      <c r="D4617" s="223">
        <v>2</v>
      </c>
      <c r="E4617" s="223">
        <v>100887</v>
      </c>
    </row>
    <row r="4618" spans="1:5" ht="15">
      <c r="A4618" s="223" t="s">
        <v>270</v>
      </c>
      <c r="B4618" s="223">
        <v>21</v>
      </c>
      <c r="C4618" s="223">
        <v>21</v>
      </c>
      <c r="D4618" s="223">
        <v>3</v>
      </c>
      <c r="E4618" s="223">
        <v>35298</v>
      </c>
    </row>
    <row r="4619" spans="1:5" ht="15">
      <c r="A4619" s="223" t="s">
        <v>270</v>
      </c>
      <c r="B4619" s="223">
        <v>21</v>
      </c>
      <c r="C4619" s="223">
        <v>21</v>
      </c>
      <c r="D4619" s="223">
        <v>4</v>
      </c>
      <c r="E4619" s="223">
        <v>44444</v>
      </c>
    </row>
    <row r="4620" spans="1:5" ht="15">
      <c r="A4620" s="223" t="s">
        <v>270</v>
      </c>
      <c r="B4620" s="223">
        <v>21</v>
      </c>
      <c r="C4620" s="223">
        <v>21</v>
      </c>
      <c r="D4620" s="223">
        <v>5</v>
      </c>
      <c r="E4620" s="223">
        <v>300</v>
      </c>
    </row>
    <row r="4621" spans="1:5" ht="15">
      <c r="A4621" s="223" t="s">
        <v>270</v>
      </c>
      <c r="B4621" s="223">
        <v>21</v>
      </c>
      <c r="C4621" s="223">
        <v>21</v>
      </c>
      <c r="D4621" s="223">
        <v>7</v>
      </c>
      <c r="E4621" s="223">
        <v>100</v>
      </c>
    </row>
    <row r="4622" spans="1:5" ht="15">
      <c r="A4622" s="223" t="s">
        <v>270</v>
      </c>
      <c r="B4622" s="223">
        <v>21</v>
      </c>
      <c r="C4622" s="223">
        <v>25</v>
      </c>
      <c r="D4622" s="223">
        <v>7</v>
      </c>
      <c r="E4622" s="223">
        <v>110000</v>
      </c>
    </row>
    <row r="4623" spans="1:5" ht="15">
      <c r="A4623" s="223" t="s">
        <v>270</v>
      </c>
      <c r="B4623" s="223">
        <v>21</v>
      </c>
      <c r="C4623" s="223">
        <v>26</v>
      </c>
      <c r="D4623" s="223">
        <v>2</v>
      </c>
      <c r="E4623" s="223">
        <v>260433</v>
      </c>
    </row>
    <row r="4624" spans="1:5" ht="15">
      <c r="A4624" s="223" t="s">
        <v>270</v>
      </c>
      <c r="B4624" s="223">
        <v>21</v>
      </c>
      <c r="C4624" s="223">
        <v>26</v>
      </c>
      <c r="D4624" s="223">
        <v>3</v>
      </c>
      <c r="E4624" s="223">
        <v>37016</v>
      </c>
    </row>
    <row r="4625" spans="1:5" ht="15">
      <c r="A4625" s="223" t="s">
        <v>270</v>
      </c>
      <c r="B4625" s="223">
        <v>21</v>
      </c>
      <c r="C4625" s="223">
        <v>26</v>
      </c>
      <c r="D4625" s="223">
        <v>4</v>
      </c>
      <c r="E4625" s="223">
        <v>116022</v>
      </c>
    </row>
    <row r="4626" spans="1:5" ht="15">
      <c r="A4626" s="223" t="s">
        <v>270</v>
      </c>
      <c r="B4626" s="223">
        <v>21</v>
      </c>
      <c r="C4626" s="223">
        <v>26</v>
      </c>
      <c r="D4626" s="223">
        <v>5</v>
      </c>
      <c r="E4626" s="223">
        <v>14000</v>
      </c>
    </row>
    <row r="4627" spans="1:5" ht="15">
      <c r="A4627" s="223" t="s">
        <v>270</v>
      </c>
      <c r="B4627" s="223">
        <v>21</v>
      </c>
      <c r="C4627" s="223">
        <v>26</v>
      </c>
      <c r="D4627" s="223">
        <v>7</v>
      </c>
      <c r="E4627" s="223">
        <v>1493756</v>
      </c>
    </row>
    <row r="4628" spans="1:5" ht="15">
      <c r="A4628" s="223" t="s">
        <v>270</v>
      </c>
      <c r="B4628" s="223">
        <v>21</v>
      </c>
      <c r="C4628" s="223">
        <v>27</v>
      </c>
      <c r="D4628" s="223">
        <v>2</v>
      </c>
      <c r="E4628" s="223">
        <v>946946</v>
      </c>
    </row>
    <row r="4629" spans="1:5" ht="15">
      <c r="A4629" s="223" t="s">
        <v>270</v>
      </c>
      <c r="B4629" s="223">
        <v>21</v>
      </c>
      <c r="C4629" s="223">
        <v>27</v>
      </c>
      <c r="D4629" s="223">
        <v>3</v>
      </c>
      <c r="E4629" s="223">
        <v>1055928</v>
      </c>
    </row>
    <row r="4630" spans="1:5" ht="15">
      <c r="A4630" s="223" t="s">
        <v>270</v>
      </c>
      <c r="B4630" s="223">
        <v>21</v>
      </c>
      <c r="C4630" s="223">
        <v>27</v>
      </c>
      <c r="D4630" s="223">
        <v>4</v>
      </c>
      <c r="E4630" s="223">
        <v>977809</v>
      </c>
    </row>
    <row r="4631" spans="1:5" ht="15">
      <c r="A4631" s="223" t="s">
        <v>270</v>
      </c>
      <c r="B4631" s="223">
        <v>21</v>
      </c>
      <c r="C4631" s="223">
        <v>27</v>
      </c>
      <c r="D4631" s="223">
        <v>5</v>
      </c>
      <c r="E4631" s="223">
        <v>10950</v>
      </c>
    </row>
    <row r="4632" spans="1:5" ht="15">
      <c r="A4632" s="223" t="s">
        <v>270</v>
      </c>
      <c r="B4632" s="223">
        <v>21</v>
      </c>
      <c r="C4632" s="223">
        <v>27</v>
      </c>
      <c r="D4632" s="223">
        <v>7</v>
      </c>
      <c r="E4632" s="223">
        <v>9000</v>
      </c>
    </row>
    <row r="4633" spans="1:5" ht="15">
      <c r="A4633" s="223" t="s">
        <v>270</v>
      </c>
      <c r="B4633" s="223">
        <v>21</v>
      </c>
      <c r="C4633" s="223">
        <v>27</v>
      </c>
      <c r="D4633" s="223">
        <v>8</v>
      </c>
      <c r="E4633" s="223">
        <v>12500</v>
      </c>
    </row>
    <row r="4634" spans="1:5" ht="15">
      <c r="A4634" s="223" t="s">
        <v>270</v>
      </c>
      <c r="B4634" s="223">
        <v>21</v>
      </c>
      <c r="C4634" s="223">
        <v>31</v>
      </c>
      <c r="D4634" s="223">
        <v>5</v>
      </c>
      <c r="E4634" s="223">
        <v>200</v>
      </c>
    </row>
    <row r="4635" spans="1:5" ht="15">
      <c r="A4635" s="223" t="s">
        <v>270</v>
      </c>
      <c r="B4635" s="223">
        <v>21</v>
      </c>
      <c r="C4635" s="223">
        <v>31</v>
      </c>
      <c r="D4635" s="223">
        <v>7</v>
      </c>
      <c r="E4635" s="223">
        <v>2000</v>
      </c>
    </row>
    <row r="4636" spans="1:5" ht="15">
      <c r="A4636" s="223" t="s">
        <v>270</v>
      </c>
      <c r="B4636" s="223">
        <v>21</v>
      </c>
      <c r="C4636" s="223">
        <v>31</v>
      </c>
      <c r="D4636" s="223">
        <v>8</v>
      </c>
      <c r="E4636" s="223">
        <v>1000</v>
      </c>
    </row>
    <row r="4637" spans="1:5" ht="15">
      <c r="A4637" s="223" t="s">
        <v>270</v>
      </c>
      <c r="B4637" s="223">
        <v>24</v>
      </c>
      <c r="C4637" s="223">
        <v>27</v>
      </c>
      <c r="D4637" s="223">
        <v>2</v>
      </c>
      <c r="E4637" s="223">
        <v>370494</v>
      </c>
    </row>
    <row r="4638" spans="1:5" ht="15">
      <c r="A4638" s="223" t="s">
        <v>270</v>
      </c>
      <c r="B4638" s="223">
        <v>24</v>
      </c>
      <c r="C4638" s="223">
        <v>27</v>
      </c>
      <c r="D4638" s="223">
        <v>4</v>
      </c>
      <c r="E4638" s="223">
        <v>131896</v>
      </c>
    </row>
    <row r="4639" spans="1:5" ht="15">
      <c r="A4639" s="223" t="s">
        <v>272</v>
      </c>
      <c r="B4639" s="223">
        <v>21</v>
      </c>
      <c r="C4639" s="223">
        <v>29</v>
      </c>
      <c r="D4639" s="223">
        <v>7</v>
      </c>
      <c r="E4639" s="223">
        <v>46854</v>
      </c>
    </row>
    <row r="4640" spans="1:5" ht="15">
      <c r="A4640" s="223" t="s">
        <v>274</v>
      </c>
      <c r="B4640" s="223">
        <v>21</v>
      </c>
      <c r="C4640" s="223">
        <v>21</v>
      </c>
      <c r="D4640" s="223">
        <v>2</v>
      </c>
      <c r="E4640" s="223">
        <v>15885</v>
      </c>
    </row>
    <row r="4641" spans="1:5" ht="15">
      <c r="A4641" s="223" t="s">
        <v>274</v>
      </c>
      <c r="B4641" s="223">
        <v>21</v>
      </c>
      <c r="C4641" s="223">
        <v>21</v>
      </c>
      <c r="D4641" s="223">
        <v>4</v>
      </c>
      <c r="E4641" s="223">
        <v>6124</v>
      </c>
    </row>
    <row r="4642" spans="1:5" ht="15">
      <c r="A4642" s="223" t="s">
        <v>274</v>
      </c>
      <c r="B4642" s="223">
        <v>21</v>
      </c>
      <c r="C4642" s="223">
        <v>26</v>
      </c>
      <c r="D4642" s="223">
        <v>7</v>
      </c>
      <c r="E4642" s="223">
        <v>27136</v>
      </c>
    </row>
    <row r="4643" spans="1:5" ht="15">
      <c r="A4643" s="223" t="s">
        <v>274</v>
      </c>
      <c r="B4643" s="223">
        <v>21</v>
      </c>
      <c r="C4643" s="223">
        <v>27</v>
      </c>
      <c r="D4643" s="223">
        <v>2</v>
      </c>
      <c r="E4643" s="223">
        <v>65875</v>
      </c>
    </row>
    <row r="4644" spans="1:5" ht="15">
      <c r="A4644" s="223" t="s">
        <v>274</v>
      </c>
      <c r="B4644" s="223">
        <v>21</v>
      </c>
      <c r="C4644" s="223">
        <v>27</v>
      </c>
      <c r="D4644" s="223">
        <v>3</v>
      </c>
      <c r="E4644" s="223">
        <v>65992</v>
      </c>
    </row>
    <row r="4645" spans="1:5" ht="15">
      <c r="A4645" s="223" t="s">
        <v>274</v>
      </c>
      <c r="B4645" s="223">
        <v>21</v>
      </c>
      <c r="C4645" s="223">
        <v>27</v>
      </c>
      <c r="D4645" s="223">
        <v>4</v>
      </c>
      <c r="E4645" s="223">
        <v>83223</v>
      </c>
    </row>
    <row r="4646" spans="1:5" ht="15">
      <c r="A4646" s="223" t="s">
        <v>274</v>
      </c>
      <c r="B4646" s="223">
        <v>21</v>
      </c>
      <c r="C4646" s="223">
        <v>27</v>
      </c>
      <c r="D4646" s="223">
        <v>5</v>
      </c>
      <c r="E4646" s="223">
        <v>1650</v>
      </c>
    </row>
    <row r="4647" spans="1:5" ht="15">
      <c r="A4647" s="223" t="s">
        <v>274</v>
      </c>
      <c r="B4647" s="223">
        <v>21</v>
      </c>
      <c r="C4647" s="223">
        <v>27</v>
      </c>
      <c r="D4647" s="223">
        <v>7</v>
      </c>
      <c r="E4647" s="223">
        <v>13000</v>
      </c>
    </row>
    <row r="4648" spans="1:5" ht="15">
      <c r="A4648" s="223" t="s">
        <v>274</v>
      </c>
      <c r="B4648" s="223">
        <v>21</v>
      </c>
      <c r="C4648" s="223">
        <v>27</v>
      </c>
      <c r="D4648" s="223">
        <v>8</v>
      </c>
      <c r="E4648" s="223">
        <v>200</v>
      </c>
    </row>
    <row r="4649" spans="1:5" ht="15">
      <c r="A4649" s="223" t="s">
        <v>274</v>
      </c>
      <c r="B4649" s="223">
        <v>24</v>
      </c>
      <c r="C4649" s="223">
        <v>26</v>
      </c>
      <c r="D4649" s="223">
        <v>7</v>
      </c>
      <c r="E4649" s="223">
        <v>48400</v>
      </c>
    </row>
    <row r="4650" spans="1:5" ht="15">
      <c r="A4650" s="223" t="s">
        <v>276</v>
      </c>
      <c r="B4650" s="223">
        <v>21</v>
      </c>
      <c r="C4650" s="223">
        <v>21</v>
      </c>
      <c r="D4650" s="223">
        <v>2</v>
      </c>
      <c r="E4650" s="223">
        <v>127097</v>
      </c>
    </row>
    <row r="4651" spans="1:5" ht="15">
      <c r="A4651" s="223" t="s">
        <v>276</v>
      </c>
      <c r="B4651" s="223">
        <v>21</v>
      </c>
      <c r="C4651" s="223">
        <v>21</v>
      </c>
      <c r="D4651" s="223">
        <v>4</v>
      </c>
      <c r="E4651" s="223">
        <v>40899</v>
      </c>
    </row>
    <row r="4652" spans="1:5" ht="15">
      <c r="A4652" s="223" t="s">
        <v>276</v>
      </c>
      <c r="B4652" s="223">
        <v>21</v>
      </c>
      <c r="C4652" s="223">
        <v>26</v>
      </c>
      <c r="D4652" s="223">
        <v>2</v>
      </c>
      <c r="E4652" s="223">
        <v>181162</v>
      </c>
    </row>
    <row r="4653" spans="1:5" ht="15">
      <c r="A4653" s="223" t="s">
        <v>276</v>
      </c>
      <c r="B4653" s="223">
        <v>21</v>
      </c>
      <c r="C4653" s="223">
        <v>26</v>
      </c>
      <c r="D4653" s="223">
        <v>4</v>
      </c>
      <c r="E4653" s="223">
        <v>67208</v>
      </c>
    </row>
    <row r="4654" spans="1:5" ht="15">
      <c r="A4654" s="223" t="s">
        <v>276</v>
      </c>
      <c r="B4654" s="223">
        <v>21</v>
      </c>
      <c r="C4654" s="223">
        <v>26</v>
      </c>
      <c r="D4654" s="223">
        <v>7</v>
      </c>
      <c r="E4654" s="223">
        <v>264696</v>
      </c>
    </row>
    <row r="4655" spans="1:5" ht="15">
      <c r="A4655" s="223" t="s">
        <v>276</v>
      </c>
      <c r="B4655" s="223">
        <v>21</v>
      </c>
      <c r="C4655" s="223">
        <v>26</v>
      </c>
      <c r="D4655" s="223">
        <v>8</v>
      </c>
      <c r="E4655" s="223">
        <v>1000</v>
      </c>
    </row>
    <row r="4656" spans="1:5" ht="15">
      <c r="A4656" s="223" t="s">
        <v>276</v>
      </c>
      <c r="B4656" s="223">
        <v>21</v>
      </c>
      <c r="C4656" s="223">
        <v>27</v>
      </c>
      <c r="D4656" s="223">
        <v>2</v>
      </c>
      <c r="E4656" s="223">
        <v>616767</v>
      </c>
    </row>
    <row r="4657" spans="1:5" ht="15">
      <c r="A4657" s="223" t="s">
        <v>276</v>
      </c>
      <c r="B4657" s="223">
        <v>21</v>
      </c>
      <c r="C4657" s="223">
        <v>27</v>
      </c>
      <c r="D4657" s="223">
        <v>3</v>
      </c>
      <c r="E4657" s="223">
        <v>389662</v>
      </c>
    </row>
    <row r="4658" spans="1:5" ht="15">
      <c r="A4658" s="223" t="s">
        <v>276</v>
      </c>
      <c r="B4658" s="223">
        <v>21</v>
      </c>
      <c r="C4658" s="223">
        <v>27</v>
      </c>
      <c r="D4658" s="223">
        <v>4</v>
      </c>
      <c r="E4658" s="223">
        <v>471880</v>
      </c>
    </row>
    <row r="4659" spans="1:5" ht="15">
      <c r="A4659" s="223" t="s">
        <v>276</v>
      </c>
      <c r="B4659" s="223">
        <v>21</v>
      </c>
      <c r="C4659" s="223">
        <v>27</v>
      </c>
      <c r="D4659" s="223">
        <v>5</v>
      </c>
      <c r="E4659" s="223">
        <v>99500</v>
      </c>
    </row>
    <row r="4660" spans="1:5" ht="15">
      <c r="A4660" s="223" t="s">
        <v>276</v>
      </c>
      <c r="B4660" s="223">
        <v>21</v>
      </c>
      <c r="C4660" s="223">
        <v>27</v>
      </c>
      <c r="D4660" s="223">
        <v>7</v>
      </c>
      <c r="E4660" s="223">
        <v>29636</v>
      </c>
    </row>
    <row r="4661" spans="1:5" ht="15">
      <c r="A4661" s="223" t="s">
        <v>276</v>
      </c>
      <c r="B4661" s="223">
        <v>21</v>
      </c>
      <c r="C4661" s="223">
        <v>27</v>
      </c>
      <c r="D4661" s="223">
        <v>8</v>
      </c>
      <c r="E4661" s="223">
        <v>1000</v>
      </c>
    </row>
    <row r="4662" spans="1:5" ht="15">
      <c r="A4662" s="223" t="s">
        <v>276</v>
      </c>
      <c r="B4662" s="223">
        <v>21</v>
      </c>
      <c r="C4662" s="223">
        <v>31</v>
      </c>
      <c r="D4662" s="223">
        <v>7</v>
      </c>
      <c r="E4662" s="223">
        <v>5500</v>
      </c>
    </row>
    <row r="4663" spans="1:5" ht="15">
      <c r="A4663" s="223" t="s">
        <v>276</v>
      </c>
      <c r="B4663" s="223">
        <v>21</v>
      </c>
      <c r="C4663" s="223">
        <v>31</v>
      </c>
      <c r="D4663" s="223">
        <v>8</v>
      </c>
      <c r="E4663" s="223">
        <v>1500</v>
      </c>
    </row>
    <row r="4664" spans="1:5" ht="15">
      <c r="A4664" s="223" t="s">
        <v>276</v>
      </c>
      <c r="B4664" s="223">
        <v>24</v>
      </c>
      <c r="C4664" s="223">
        <v>27</v>
      </c>
      <c r="D4664" s="223">
        <v>2</v>
      </c>
      <c r="E4664" s="223">
        <v>32100</v>
      </c>
    </row>
    <row r="4665" spans="1:5" ht="15">
      <c r="A4665" s="223" t="s">
        <v>276</v>
      </c>
      <c r="B4665" s="223">
        <v>24</v>
      </c>
      <c r="C4665" s="223">
        <v>27</v>
      </c>
      <c r="D4665" s="223">
        <v>3</v>
      </c>
      <c r="E4665" s="223">
        <v>132289</v>
      </c>
    </row>
    <row r="4666" spans="1:5" ht="15">
      <c r="A4666" s="223" t="s">
        <v>276</v>
      </c>
      <c r="B4666" s="223">
        <v>24</v>
      </c>
      <c r="C4666" s="223">
        <v>27</v>
      </c>
      <c r="D4666" s="223">
        <v>4</v>
      </c>
      <c r="E4666" s="223">
        <v>106025</v>
      </c>
    </row>
    <row r="4667" spans="1:5" ht="15">
      <c r="A4667" s="223" t="s">
        <v>276</v>
      </c>
      <c r="B4667" s="223">
        <v>24</v>
      </c>
      <c r="C4667" s="223">
        <v>27</v>
      </c>
      <c r="D4667" s="223">
        <v>5</v>
      </c>
      <c r="E4667" s="223">
        <v>5694</v>
      </c>
    </row>
    <row r="4668" spans="1:5" ht="15">
      <c r="A4668" s="223" t="s">
        <v>546</v>
      </c>
      <c r="B4668" s="223">
        <v>21</v>
      </c>
      <c r="C4668" s="223">
        <v>21</v>
      </c>
      <c r="D4668" s="223">
        <v>2</v>
      </c>
      <c r="E4668" s="223">
        <v>153376</v>
      </c>
    </row>
    <row r="4669" spans="1:5" ht="15">
      <c r="A4669" s="223" t="s">
        <v>546</v>
      </c>
      <c r="B4669" s="223">
        <v>21</v>
      </c>
      <c r="C4669" s="223">
        <v>21</v>
      </c>
      <c r="D4669" s="223">
        <v>3</v>
      </c>
      <c r="E4669" s="223">
        <v>2654</v>
      </c>
    </row>
    <row r="4670" spans="1:5" ht="15">
      <c r="A4670" s="223" t="s">
        <v>546</v>
      </c>
      <c r="B4670" s="223">
        <v>21</v>
      </c>
      <c r="C4670" s="223">
        <v>21</v>
      </c>
      <c r="D4670" s="223">
        <v>4</v>
      </c>
      <c r="E4670" s="223">
        <v>48047</v>
      </c>
    </row>
    <row r="4671" spans="1:5" ht="15">
      <c r="A4671" s="223" t="s">
        <v>546</v>
      </c>
      <c r="B4671" s="223">
        <v>21</v>
      </c>
      <c r="C4671" s="223">
        <v>21</v>
      </c>
      <c r="D4671" s="223">
        <v>5</v>
      </c>
      <c r="E4671" s="223">
        <v>500</v>
      </c>
    </row>
    <row r="4672" spans="1:5" ht="15">
      <c r="A4672" s="223" t="s">
        <v>546</v>
      </c>
      <c r="B4672" s="223">
        <v>21</v>
      </c>
      <c r="C4672" s="223">
        <v>26</v>
      </c>
      <c r="D4672" s="223">
        <v>2</v>
      </c>
      <c r="E4672" s="223">
        <v>280830</v>
      </c>
    </row>
    <row r="4673" spans="1:5" ht="15">
      <c r="A4673" s="223" t="s">
        <v>546</v>
      </c>
      <c r="B4673" s="223">
        <v>21</v>
      </c>
      <c r="C4673" s="223">
        <v>26</v>
      </c>
      <c r="D4673" s="223">
        <v>4</v>
      </c>
      <c r="E4673" s="223">
        <v>100801</v>
      </c>
    </row>
    <row r="4674" spans="1:5" ht="15">
      <c r="A4674" s="223" t="s">
        <v>546</v>
      </c>
      <c r="B4674" s="223">
        <v>21</v>
      </c>
      <c r="C4674" s="223">
        <v>26</v>
      </c>
      <c r="D4674" s="223">
        <v>7</v>
      </c>
      <c r="E4674" s="223">
        <v>67360</v>
      </c>
    </row>
    <row r="4675" spans="1:5" ht="15">
      <c r="A4675" s="223" t="s">
        <v>546</v>
      </c>
      <c r="B4675" s="223">
        <v>21</v>
      </c>
      <c r="C4675" s="223">
        <v>27</v>
      </c>
      <c r="D4675" s="223">
        <v>2</v>
      </c>
      <c r="E4675" s="223">
        <v>353135</v>
      </c>
    </row>
    <row r="4676" spans="1:5" ht="15">
      <c r="A4676" s="223" t="s">
        <v>546</v>
      </c>
      <c r="B4676" s="223">
        <v>21</v>
      </c>
      <c r="C4676" s="223">
        <v>27</v>
      </c>
      <c r="D4676" s="223">
        <v>3</v>
      </c>
      <c r="E4676" s="223">
        <v>609984</v>
      </c>
    </row>
    <row r="4677" spans="1:5" ht="15">
      <c r="A4677" s="223" t="s">
        <v>546</v>
      </c>
      <c r="B4677" s="223">
        <v>21</v>
      </c>
      <c r="C4677" s="223">
        <v>27</v>
      </c>
      <c r="D4677" s="223">
        <v>4</v>
      </c>
      <c r="E4677" s="223">
        <v>510232</v>
      </c>
    </row>
    <row r="4678" spans="1:5" ht="15">
      <c r="A4678" s="223" t="s">
        <v>546</v>
      </c>
      <c r="B4678" s="223">
        <v>21</v>
      </c>
      <c r="C4678" s="223">
        <v>27</v>
      </c>
      <c r="D4678" s="223">
        <v>5</v>
      </c>
      <c r="E4678" s="223">
        <v>5000</v>
      </c>
    </row>
    <row r="4679" spans="1:5" ht="15">
      <c r="A4679" s="223" t="s">
        <v>546</v>
      </c>
      <c r="B4679" s="223">
        <v>21</v>
      </c>
      <c r="C4679" s="223">
        <v>27</v>
      </c>
      <c r="D4679" s="223">
        <v>7</v>
      </c>
      <c r="E4679" s="223">
        <v>15100</v>
      </c>
    </row>
    <row r="4680" spans="1:5" ht="15">
      <c r="A4680" s="223" t="s">
        <v>546</v>
      </c>
      <c r="B4680" s="223">
        <v>21</v>
      </c>
      <c r="C4680" s="223">
        <v>31</v>
      </c>
      <c r="D4680" s="223">
        <v>2</v>
      </c>
      <c r="E4680" s="223">
        <v>4051</v>
      </c>
    </row>
    <row r="4681" spans="1:5" ht="15">
      <c r="A4681" s="223" t="s">
        <v>546</v>
      </c>
      <c r="B4681" s="223">
        <v>21</v>
      </c>
      <c r="C4681" s="223">
        <v>31</v>
      </c>
      <c r="D4681" s="223">
        <v>4</v>
      </c>
      <c r="E4681" s="223">
        <v>924</v>
      </c>
    </row>
    <row r="4682" spans="1:5" ht="15">
      <c r="A4682" s="223" t="s">
        <v>546</v>
      </c>
      <c r="B4682" s="223">
        <v>21</v>
      </c>
      <c r="C4682" s="223">
        <v>31</v>
      </c>
      <c r="D4682" s="223">
        <v>5</v>
      </c>
      <c r="E4682" s="223">
        <v>1500</v>
      </c>
    </row>
    <row r="4683" spans="1:5" ht="15">
      <c r="A4683" s="223" t="s">
        <v>546</v>
      </c>
      <c r="B4683" s="223">
        <v>21</v>
      </c>
      <c r="C4683" s="223">
        <v>31</v>
      </c>
      <c r="D4683" s="223">
        <v>8</v>
      </c>
      <c r="E4683" s="223">
        <v>1400</v>
      </c>
    </row>
    <row r="4684" spans="1:5" ht="15">
      <c r="A4684" s="223" t="s">
        <v>546</v>
      </c>
      <c r="B4684" s="223">
        <v>21</v>
      </c>
      <c r="C4684" s="223">
        <v>34</v>
      </c>
      <c r="D4684" s="223">
        <v>2</v>
      </c>
      <c r="E4684" s="223">
        <v>12157</v>
      </c>
    </row>
    <row r="4685" spans="1:5" ht="15">
      <c r="A4685" s="223" t="s">
        <v>546</v>
      </c>
      <c r="B4685" s="223">
        <v>21</v>
      </c>
      <c r="C4685" s="223">
        <v>34</v>
      </c>
      <c r="D4685" s="223">
        <v>4</v>
      </c>
      <c r="E4685" s="223">
        <v>2773</v>
      </c>
    </row>
    <row r="4686" spans="1:5" ht="15">
      <c r="A4686" s="223" t="s">
        <v>546</v>
      </c>
      <c r="B4686" s="223">
        <v>24</v>
      </c>
      <c r="C4686" s="223">
        <v>27</v>
      </c>
      <c r="D4686" s="223">
        <v>2</v>
      </c>
      <c r="E4686" s="223">
        <v>107362</v>
      </c>
    </row>
    <row r="4687" spans="1:5" ht="15">
      <c r="A4687" s="223" t="s">
        <v>546</v>
      </c>
      <c r="B4687" s="223">
        <v>24</v>
      </c>
      <c r="C4687" s="223">
        <v>27</v>
      </c>
      <c r="D4687" s="223">
        <v>4</v>
      </c>
      <c r="E4687" s="223">
        <v>43039</v>
      </c>
    </row>
    <row r="4688" spans="1:5" ht="15">
      <c r="A4688" s="223" t="s">
        <v>546</v>
      </c>
      <c r="B4688" s="223">
        <v>24</v>
      </c>
      <c r="C4688" s="223">
        <v>27</v>
      </c>
      <c r="D4688" s="223">
        <v>5</v>
      </c>
      <c r="E4688" s="223">
        <v>28718</v>
      </c>
    </row>
    <row r="4689" spans="1:5" ht="15">
      <c r="A4689" s="223" t="s">
        <v>547</v>
      </c>
      <c r="B4689" s="223">
        <v>21</v>
      </c>
      <c r="C4689" s="223">
        <v>26</v>
      </c>
      <c r="D4689" s="223">
        <v>5</v>
      </c>
      <c r="E4689" s="223">
        <v>1300</v>
      </c>
    </row>
    <row r="4690" spans="1:5" ht="15">
      <c r="A4690" s="223" t="s">
        <v>547</v>
      </c>
      <c r="B4690" s="223">
        <v>21</v>
      </c>
      <c r="C4690" s="223">
        <v>26</v>
      </c>
      <c r="D4690" s="223">
        <v>7</v>
      </c>
      <c r="E4690" s="223">
        <v>24000</v>
      </c>
    </row>
    <row r="4691" spans="1:5" ht="15">
      <c r="A4691" s="223" t="s">
        <v>547</v>
      </c>
      <c r="B4691" s="223">
        <v>21</v>
      </c>
      <c r="C4691" s="223">
        <v>26</v>
      </c>
      <c r="D4691" s="223">
        <v>8</v>
      </c>
      <c r="E4691" s="223">
        <v>1499</v>
      </c>
    </row>
    <row r="4692" spans="1:5" ht="15">
      <c r="A4692" s="223" t="s">
        <v>547</v>
      </c>
      <c r="B4692" s="223">
        <v>21</v>
      </c>
      <c r="C4692" s="223">
        <v>27</v>
      </c>
      <c r="D4692" s="223">
        <v>2</v>
      </c>
      <c r="E4692" s="223">
        <v>85412</v>
      </c>
    </row>
    <row r="4693" spans="1:5" ht="15">
      <c r="A4693" s="223" t="s">
        <v>547</v>
      </c>
      <c r="B4693" s="223">
        <v>21</v>
      </c>
      <c r="C4693" s="223">
        <v>27</v>
      </c>
      <c r="D4693" s="223">
        <v>3</v>
      </c>
      <c r="E4693" s="223">
        <v>8641</v>
      </c>
    </row>
    <row r="4694" spans="1:5" ht="15">
      <c r="A4694" s="223" t="s">
        <v>547</v>
      </c>
      <c r="B4694" s="223">
        <v>21</v>
      </c>
      <c r="C4694" s="223">
        <v>27</v>
      </c>
      <c r="D4694" s="223">
        <v>4</v>
      </c>
      <c r="E4694" s="223">
        <v>12034</v>
      </c>
    </row>
    <row r="4695" spans="1:5" ht="15">
      <c r="A4695" s="223" t="s">
        <v>547</v>
      </c>
      <c r="B4695" s="223">
        <v>21</v>
      </c>
      <c r="C4695" s="223">
        <v>27</v>
      </c>
      <c r="D4695" s="223">
        <v>5</v>
      </c>
      <c r="E4695" s="223">
        <v>750</v>
      </c>
    </row>
    <row r="4696" spans="1:5" ht="15">
      <c r="A4696" s="223" t="s">
        <v>547</v>
      </c>
      <c r="B4696" s="223">
        <v>21</v>
      </c>
      <c r="C4696" s="223">
        <v>27</v>
      </c>
      <c r="D4696" s="223">
        <v>7</v>
      </c>
      <c r="E4696" s="223">
        <v>750</v>
      </c>
    </row>
    <row r="4697" spans="1:5" ht="15">
      <c r="A4697" s="223" t="s">
        <v>547</v>
      </c>
      <c r="B4697" s="223">
        <v>21</v>
      </c>
      <c r="C4697" s="223">
        <v>27</v>
      </c>
      <c r="D4697" s="223">
        <v>8</v>
      </c>
      <c r="E4697" s="223">
        <v>100</v>
      </c>
    </row>
    <row r="4698" spans="1:5" ht="15">
      <c r="A4698" s="223" t="s">
        <v>547</v>
      </c>
      <c r="B4698" s="223">
        <v>21</v>
      </c>
      <c r="C4698" s="223">
        <v>31</v>
      </c>
      <c r="D4698" s="223">
        <v>7</v>
      </c>
      <c r="E4698" s="223">
        <v>500</v>
      </c>
    </row>
    <row r="4699" spans="1:5" ht="15">
      <c r="A4699" s="223" t="s">
        <v>547</v>
      </c>
      <c r="B4699" s="223">
        <v>21</v>
      </c>
      <c r="C4699" s="223">
        <v>34</v>
      </c>
      <c r="D4699" s="223">
        <v>2</v>
      </c>
      <c r="E4699" s="223">
        <v>556</v>
      </c>
    </row>
    <row r="4700" spans="1:5" ht="15">
      <c r="A4700" s="223" t="s">
        <v>547</v>
      </c>
      <c r="B4700" s="223">
        <v>21</v>
      </c>
      <c r="C4700" s="223">
        <v>34</v>
      </c>
      <c r="D4700" s="223">
        <v>4</v>
      </c>
      <c r="E4700" s="223">
        <v>45</v>
      </c>
    </row>
    <row r="4701" spans="1:5" ht="15">
      <c r="A4701" s="223" t="s">
        <v>547</v>
      </c>
      <c r="B4701" s="223">
        <v>24</v>
      </c>
      <c r="C4701" s="223">
        <v>26</v>
      </c>
      <c r="D4701" s="223">
        <v>7</v>
      </c>
      <c r="E4701" s="223">
        <v>806</v>
      </c>
    </row>
    <row r="4702" spans="1:5" ht="15">
      <c r="A4702" s="223" t="s">
        <v>547</v>
      </c>
      <c r="B4702" s="223">
        <v>24</v>
      </c>
      <c r="C4702" s="223">
        <v>27</v>
      </c>
      <c r="D4702" s="223">
        <v>3</v>
      </c>
      <c r="E4702" s="223">
        <v>8641</v>
      </c>
    </row>
    <row r="4703" spans="1:5" ht="15">
      <c r="A4703" s="223" t="s">
        <v>547</v>
      </c>
      <c r="B4703" s="223">
        <v>24</v>
      </c>
      <c r="C4703" s="223">
        <v>27</v>
      </c>
      <c r="D4703" s="223">
        <v>4</v>
      </c>
      <c r="E4703" s="223">
        <v>5105</v>
      </c>
    </row>
    <row r="4704" spans="1:5" ht="15">
      <c r="A4704" s="223" t="s">
        <v>549</v>
      </c>
      <c r="B4704" s="223">
        <v>21</v>
      </c>
      <c r="C4704" s="223">
        <v>21</v>
      </c>
      <c r="D4704" s="223">
        <v>0</v>
      </c>
      <c r="E4704" s="223">
        <v>23200</v>
      </c>
    </row>
    <row r="4705" spans="1:5" ht="15">
      <c r="A4705" s="223" t="s">
        <v>549</v>
      </c>
      <c r="B4705" s="223">
        <v>21</v>
      </c>
      <c r="C4705" s="223">
        <v>21</v>
      </c>
      <c r="D4705" s="223">
        <v>2</v>
      </c>
      <c r="E4705" s="223">
        <v>1336400</v>
      </c>
    </row>
    <row r="4706" spans="1:5" ht="15">
      <c r="A4706" s="223" t="s">
        <v>549</v>
      </c>
      <c r="B4706" s="223">
        <v>21</v>
      </c>
      <c r="C4706" s="223">
        <v>21</v>
      </c>
      <c r="D4706" s="223">
        <v>3</v>
      </c>
      <c r="E4706" s="223">
        <v>1225475</v>
      </c>
    </row>
    <row r="4707" spans="1:5" ht="15">
      <c r="A4707" s="223" t="s">
        <v>549</v>
      </c>
      <c r="B4707" s="223">
        <v>21</v>
      </c>
      <c r="C4707" s="223">
        <v>21</v>
      </c>
      <c r="D4707" s="223">
        <v>4</v>
      </c>
      <c r="E4707" s="223">
        <v>884765</v>
      </c>
    </row>
    <row r="4708" spans="1:5" ht="15">
      <c r="A4708" s="223" t="s">
        <v>549</v>
      </c>
      <c r="B4708" s="223">
        <v>21</v>
      </c>
      <c r="C4708" s="223">
        <v>21</v>
      </c>
      <c r="D4708" s="223">
        <v>5</v>
      </c>
      <c r="E4708" s="223">
        <v>21000</v>
      </c>
    </row>
    <row r="4709" spans="1:5" ht="15">
      <c r="A4709" s="223" t="s">
        <v>549</v>
      </c>
      <c r="B4709" s="223">
        <v>21</v>
      </c>
      <c r="C4709" s="223">
        <v>21</v>
      </c>
      <c r="D4709" s="223">
        <v>7</v>
      </c>
      <c r="E4709" s="223">
        <v>71944</v>
      </c>
    </row>
    <row r="4710" spans="1:5" ht="15">
      <c r="A4710" s="223" t="s">
        <v>549</v>
      </c>
      <c r="B4710" s="223">
        <v>21</v>
      </c>
      <c r="C4710" s="223">
        <v>21</v>
      </c>
      <c r="D4710" s="223">
        <v>8</v>
      </c>
      <c r="E4710" s="223">
        <v>500</v>
      </c>
    </row>
    <row r="4711" spans="1:5" ht="15">
      <c r="A4711" s="223" t="s">
        <v>549</v>
      </c>
      <c r="B4711" s="223">
        <v>21</v>
      </c>
      <c r="C4711" s="223">
        <v>24</v>
      </c>
      <c r="D4711" s="223">
        <v>2</v>
      </c>
      <c r="E4711" s="223">
        <v>215616</v>
      </c>
    </row>
    <row r="4712" spans="1:5" ht="15">
      <c r="A4712" s="223" t="s">
        <v>549</v>
      </c>
      <c r="B4712" s="223">
        <v>21</v>
      </c>
      <c r="C4712" s="223">
        <v>24</v>
      </c>
      <c r="D4712" s="223">
        <v>4</v>
      </c>
      <c r="E4712" s="223">
        <v>79922</v>
      </c>
    </row>
    <row r="4713" spans="1:5" ht="15">
      <c r="A4713" s="223" t="s">
        <v>549</v>
      </c>
      <c r="B4713" s="223">
        <v>21</v>
      </c>
      <c r="C4713" s="223">
        <v>25</v>
      </c>
      <c r="D4713" s="223">
        <v>3</v>
      </c>
      <c r="E4713" s="223">
        <v>171512</v>
      </c>
    </row>
    <row r="4714" spans="1:5" ht="15">
      <c r="A4714" s="223" t="s">
        <v>549</v>
      </c>
      <c r="B4714" s="223">
        <v>21</v>
      </c>
      <c r="C4714" s="223">
        <v>25</v>
      </c>
      <c r="D4714" s="223">
        <v>4</v>
      </c>
      <c r="E4714" s="223">
        <v>29408</v>
      </c>
    </row>
    <row r="4715" spans="1:5" ht="15">
      <c r="A4715" s="223" t="s">
        <v>549</v>
      </c>
      <c r="B4715" s="223">
        <v>21</v>
      </c>
      <c r="C4715" s="223">
        <v>26</v>
      </c>
      <c r="D4715" s="223">
        <v>2</v>
      </c>
      <c r="E4715" s="223">
        <v>24150313</v>
      </c>
    </row>
    <row r="4716" spans="1:5" ht="15">
      <c r="A4716" s="223" t="s">
        <v>549</v>
      </c>
      <c r="B4716" s="223">
        <v>21</v>
      </c>
      <c r="C4716" s="223">
        <v>26</v>
      </c>
      <c r="D4716" s="223">
        <v>3</v>
      </c>
      <c r="E4716" s="223">
        <v>1117058</v>
      </c>
    </row>
    <row r="4717" spans="1:5" ht="15">
      <c r="A4717" s="223" t="s">
        <v>549</v>
      </c>
      <c r="B4717" s="223">
        <v>21</v>
      </c>
      <c r="C4717" s="223">
        <v>26</v>
      </c>
      <c r="D4717" s="223">
        <v>4</v>
      </c>
      <c r="E4717" s="223">
        <v>9213587</v>
      </c>
    </row>
    <row r="4718" spans="1:5" ht="15">
      <c r="A4718" s="223" t="s">
        <v>549</v>
      </c>
      <c r="B4718" s="223">
        <v>21</v>
      </c>
      <c r="C4718" s="223">
        <v>26</v>
      </c>
      <c r="D4718" s="223">
        <v>5</v>
      </c>
      <c r="E4718" s="223">
        <v>241245</v>
      </c>
    </row>
    <row r="4719" spans="1:5" ht="15">
      <c r="A4719" s="223" t="s">
        <v>549</v>
      </c>
      <c r="B4719" s="223">
        <v>21</v>
      </c>
      <c r="C4719" s="223">
        <v>26</v>
      </c>
      <c r="D4719" s="223">
        <v>7</v>
      </c>
      <c r="E4719" s="223">
        <v>553565</v>
      </c>
    </row>
    <row r="4720" spans="1:5" ht="15">
      <c r="A4720" s="223" t="s">
        <v>549</v>
      </c>
      <c r="B4720" s="223">
        <v>21</v>
      </c>
      <c r="C4720" s="223">
        <v>26</v>
      </c>
      <c r="D4720" s="223">
        <v>8</v>
      </c>
      <c r="E4720" s="223">
        <v>18700</v>
      </c>
    </row>
    <row r="4721" spans="1:5" ht="15">
      <c r="A4721" s="223" t="s">
        <v>549</v>
      </c>
      <c r="B4721" s="223">
        <v>21</v>
      </c>
      <c r="C4721" s="223">
        <v>27</v>
      </c>
      <c r="D4721" s="223">
        <v>0</v>
      </c>
      <c r="E4721" s="223">
        <v>201198</v>
      </c>
    </row>
    <row r="4722" spans="1:5" ht="15">
      <c r="A4722" s="223" t="s">
        <v>549</v>
      </c>
      <c r="B4722" s="223">
        <v>21</v>
      </c>
      <c r="C4722" s="223">
        <v>27</v>
      </c>
      <c r="D4722" s="223">
        <v>2</v>
      </c>
      <c r="E4722" s="223">
        <v>56687315</v>
      </c>
    </row>
    <row r="4723" spans="1:5" ht="15">
      <c r="A4723" s="223" t="s">
        <v>549</v>
      </c>
      <c r="B4723" s="223">
        <v>21</v>
      </c>
      <c r="C4723" s="223">
        <v>27</v>
      </c>
      <c r="D4723" s="223">
        <v>3</v>
      </c>
      <c r="E4723" s="223">
        <v>43821696</v>
      </c>
    </row>
    <row r="4724" spans="1:5" ht="15">
      <c r="A4724" s="223" t="s">
        <v>549</v>
      </c>
      <c r="B4724" s="223">
        <v>21</v>
      </c>
      <c r="C4724" s="223">
        <v>27</v>
      </c>
      <c r="D4724" s="223">
        <v>4</v>
      </c>
      <c r="E4724" s="223">
        <v>40872072</v>
      </c>
    </row>
    <row r="4725" spans="1:5" ht="15">
      <c r="A4725" s="223" t="s">
        <v>549</v>
      </c>
      <c r="B4725" s="223">
        <v>21</v>
      </c>
      <c r="C4725" s="223">
        <v>27</v>
      </c>
      <c r="D4725" s="223">
        <v>5</v>
      </c>
      <c r="E4725" s="223">
        <v>512519</v>
      </c>
    </row>
    <row r="4726" spans="1:5" ht="15">
      <c r="A4726" s="223" t="s">
        <v>549</v>
      </c>
      <c r="B4726" s="223">
        <v>21</v>
      </c>
      <c r="C4726" s="223">
        <v>27</v>
      </c>
      <c r="D4726" s="223">
        <v>7</v>
      </c>
      <c r="E4726" s="223">
        <v>8805124</v>
      </c>
    </row>
    <row r="4727" spans="1:5" ht="15">
      <c r="A4727" s="223" t="s">
        <v>549</v>
      </c>
      <c r="B4727" s="223">
        <v>21</v>
      </c>
      <c r="C4727" s="223">
        <v>27</v>
      </c>
      <c r="D4727" s="223">
        <v>8</v>
      </c>
      <c r="E4727" s="223">
        <v>9234</v>
      </c>
    </row>
    <row r="4728" spans="1:5" ht="15">
      <c r="A4728" s="223" t="s">
        <v>549</v>
      </c>
      <c r="B4728" s="223">
        <v>21</v>
      </c>
      <c r="C4728" s="223">
        <v>31</v>
      </c>
      <c r="D4728" s="223">
        <v>2</v>
      </c>
      <c r="E4728" s="223">
        <v>343479</v>
      </c>
    </row>
    <row r="4729" spans="1:5" ht="15">
      <c r="A4729" s="223" t="s">
        <v>549</v>
      </c>
      <c r="B4729" s="223">
        <v>21</v>
      </c>
      <c r="C4729" s="223">
        <v>31</v>
      </c>
      <c r="D4729" s="223">
        <v>3</v>
      </c>
      <c r="E4729" s="223">
        <v>15000</v>
      </c>
    </row>
    <row r="4730" spans="1:5" ht="15">
      <c r="A4730" s="223" t="s">
        <v>549</v>
      </c>
      <c r="B4730" s="223">
        <v>21</v>
      </c>
      <c r="C4730" s="223">
        <v>31</v>
      </c>
      <c r="D4730" s="223">
        <v>4</v>
      </c>
      <c r="E4730" s="223">
        <v>118697</v>
      </c>
    </row>
    <row r="4731" spans="1:5" ht="15">
      <c r="A4731" s="223" t="s">
        <v>549</v>
      </c>
      <c r="B4731" s="223">
        <v>21</v>
      </c>
      <c r="C4731" s="223">
        <v>31</v>
      </c>
      <c r="D4731" s="223">
        <v>5</v>
      </c>
      <c r="E4731" s="223">
        <v>4758</v>
      </c>
    </row>
    <row r="4732" spans="1:5" ht="15">
      <c r="A4732" s="223" t="s">
        <v>549</v>
      </c>
      <c r="B4732" s="223">
        <v>21</v>
      </c>
      <c r="C4732" s="223">
        <v>31</v>
      </c>
      <c r="D4732" s="223">
        <v>7</v>
      </c>
      <c r="E4732" s="223">
        <v>281323</v>
      </c>
    </row>
    <row r="4733" spans="1:5" ht="15">
      <c r="A4733" s="223" t="s">
        <v>549</v>
      </c>
      <c r="B4733" s="223">
        <v>21</v>
      </c>
      <c r="C4733" s="223">
        <v>33</v>
      </c>
      <c r="D4733" s="223">
        <v>5</v>
      </c>
      <c r="E4733" s="223">
        <v>153438</v>
      </c>
    </row>
    <row r="4734" spans="1:5" ht="15">
      <c r="A4734" s="223" t="s">
        <v>549</v>
      </c>
      <c r="B4734" s="223">
        <v>24</v>
      </c>
      <c r="C4734" s="223">
        <v>21</v>
      </c>
      <c r="D4734" s="223">
        <v>2</v>
      </c>
      <c r="E4734" s="223">
        <v>1626603</v>
      </c>
    </row>
    <row r="4735" spans="1:5" ht="15">
      <c r="A4735" s="223" t="s">
        <v>549</v>
      </c>
      <c r="B4735" s="223">
        <v>24</v>
      </c>
      <c r="C4735" s="223">
        <v>21</v>
      </c>
      <c r="D4735" s="223">
        <v>3</v>
      </c>
      <c r="E4735" s="223">
        <v>104242</v>
      </c>
    </row>
    <row r="4736" spans="1:5" ht="15">
      <c r="A4736" s="223" t="s">
        <v>549</v>
      </c>
      <c r="B4736" s="223">
        <v>24</v>
      </c>
      <c r="C4736" s="223">
        <v>21</v>
      </c>
      <c r="D4736" s="223">
        <v>4</v>
      </c>
      <c r="E4736" s="223">
        <v>512135</v>
      </c>
    </row>
    <row r="4737" spans="1:5" ht="15">
      <c r="A4737" s="223" t="s">
        <v>549</v>
      </c>
      <c r="B4737" s="223">
        <v>24</v>
      </c>
      <c r="C4737" s="223">
        <v>26</v>
      </c>
      <c r="D4737" s="223">
        <v>2</v>
      </c>
      <c r="E4737" s="223">
        <v>702248</v>
      </c>
    </row>
    <row r="4738" spans="1:5" ht="15">
      <c r="A4738" s="223" t="s">
        <v>549</v>
      </c>
      <c r="B4738" s="223">
        <v>24</v>
      </c>
      <c r="C4738" s="223">
        <v>26</v>
      </c>
      <c r="D4738" s="223">
        <v>3</v>
      </c>
      <c r="E4738" s="223">
        <v>63218</v>
      </c>
    </row>
    <row r="4739" spans="1:5" ht="15">
      <c r="A4739" s="223" t="s">
        <v>549</v>
      </c>
      <c r="B4739" s="223">
        <v>24</v>
      </c>
      <c r="C4739" s="223">
        <v>26</v>
      </c>
      <c r="D4739" s="223">
        <v>4</v>
      </c>
      <c r="E4739" s="223">
        <v>313710</v>
      </c>
    </row>
    <row r="4740" spans="1:5" ht="15">
      <c r="A4740" s="223" t="s">
        <v>549</v>
      </c>
      <c r="B4740" s="223">
        <v>24</v>
      </c>
      <c r="C4740" s="223">
        <v>26</v>
      </c>
      <c r="D4740" s="223">
        <v>5</v>
      </c>
      <c r="E4740" s="223">
        <v>155000</v>
      </c>
    </row>
    <row r="4741" spans="1:5" ht="15">
      <c r="A4741" s="223" t="s">
        <v>549</v>
      </c>
      <c r="B4741" s="223">
        <v>24</v>
      </c>
      <c r="C4741" s="223">
        <v>26</v>
      </c>
      <c r="D4741" s="223">
        <v>8</v>
      </c>
      <c r="E4741" s="223">
        <v>3400</v>
      </c>
    </row>
    <row r="4742" spans="1:5" ht="15">
      <c r="A4742" s="223" t="s">
        <v>549</v>
      </c>
      <c r="B4742" s="223">
        <v>24</v>
      </c>
      <c r="C4742" s="223">
        <v>27</v>
      </c>
      <c r="D4742" s="223">
        <v>2</v>
      </c>
      <c r="E4742" s="223">
        <v>1627351</v>
      </c>
    </row>
    <row r="4743" spans="1:5" ht="15">
      <c r="A4743" s="223" t="s">
        <v>549</v>
      </c>
      <c r="B4743" s="223">
        <v>24</v>
      </c>
      <c r="C4743" s="223">
        <v>27</v>
      </c>
      <c r="D4743" s="223">
        <v>3</v>
      </c>
      <c r="E4743" s="223">
        <v>2218429</v>
      </c>
    </row>
    <row r="4744" spans="1:5" ht="15">
      <c r="A4744" s="223" t="s">
        <v>549</v>
      </c>
      <c r="B4744" s="223">
        <v>24</v>
      </c>
      <c r="C4744" s="223">
        <v>27</v>
      </c>
      <c r="D4744" s="223">
        <v>4</v>
      </c>
      <c r="E4744" s="223">
        <v>1574842</v>
      </c>
    </row>
    <row r="4745" spans="1:5" ht="15">
      <c r="A4745" s="223" t="s">
        <v>549</v>
      </c>
      <c r="B4745" s="223">
        <v>24</v>
      </c>
      <c r="C4745" s="223">
        <v>27</v>
      </c>
      <c r="D4745" s="223">
        <v>5</v>
      </c>
      <c r="E4745" s="223">
        <v>15800</v>
      </c>
    </row>
    <row r="4746" spans="1:5" ht="15">
      <c r="A4746" s="223" t="s">
        <v>549</v>
      </c>
      <c r="B4746" s="223">
        <v>24</v>
      </c>
      <c r="C4746" s="223">
        <v>27</v>
      </c>
      <c r="D4746" s="223">
        <v>7</v>
      </c>
      <c r="E4746" s="223">
        <v>1272699</v>
      </c>
    </row>
    <row r="4747" spans="1:5" ht="15">
      <c r="A4747" s="223" t="s">
        <v>549</v>
      </c>
      <c r="B4747" s="223">
        <v>24</v>
      </c>
      <c r="C4747" s="223">
        <v>27</v>
      </c>
      <c r="D4747" s="223">
        <v>8</v>
      </c>
      <c r="E4747" s="223">
        <v>4716</v>
      </c>
    </row>
    <row r="4748" spans="1:5" ht="15">
      <c r="A4748" s="223" t="s">
        <v>549</v>
      </c>
      <c r="B4748" s="223">
        <v>24</v>
      </c>
      <c r="C4748" s="223">
        <v>31</v>
      </c>
      <c r="D4748" s="223">
        <v>2</v>
      </c>
      <c r="E4748" s="223">
        <v>1438260</v>
      </c>
    </row>
    <row r="4749" spans="1:5" ht="15">
      <c r="A4749" s="223" t="s">
        <v>549</v>
      </c>
      <c r="B4749" s="223">
        <v>24</v>
      </c>
      <c r="C4749" s="223">
        <v>31</v>
      </c>
      <c r="D4749" s="223">
        <v>4</v>
      </c>
      <c r="E4749" s="223">
        <v>516513</v>
      </c>
    </row>
    <row r="4750" spans="1:5" ht="15">
      <c r="A4750" s="223" t="s">
        <v>549</v>
      </c>
      <c r="B4750" s="223">
        <v>24</v>
      </c>
      <c r="C4750" s="223">
        <v>31</v>
      </c>
      <c r="D4750" s="223">
        <v>7</v>
      </c>
      <c r="E4750" s="223">
        <v>521573</v>
      </c>
    </row>
    <row r="4751" spans="1:5" ht="15">
      <c r="A4751" s="223" t="s">
        <v>549</v>
      </c>
      <c r="B4751" s="223">
        <v>24</v>
      </c>
      <c r="C4751" s="223">
        <v>31</v>
      </c>
      <c r="D4751" s="223">
        <v>8</v>
      </c>
      <c r="E4751" s="223">
        <v>8500</v>
      </c>
    </row>
    <row r="4752" spans="1:5" ht="15">
      <c r="A4752" s="223" t="s">
        <v>551</v>
      </c>
      <c r="B4752" s="223">
        <v>21</v>
      </c>
      <c r="C4752" s="223">
        <v>21</v>
      </c>
      <c r="D4752" s="223">
        <v>2</v>
      </c>
      <c r="E4752" s="223">
        <v>279257</v>
      </c>
    </row>
    <row r="4753" spans="1:5" ht="15">
      <c r="A4753" s="223" t="s">
        <v>551</v>
      </c>
      <c r="B4753" s="223">
        <v>21</v>
      </c>
      <c r="C4753" s="223">
        <v>21</v>
      </c>
      <c r="D4753" s="223">
        <v>3</v>
      </c>
      <c r="E4753" s="223">
        <v>320858</v>
      </c>
    </row>
    <row r="4754" spans="1:5" ht="15">
      <c r="A4754" s="223" t="s">
        <v>551</v>
      </c>
      <c r="B4754" s="223">
        <v>21</v>
      </c>
      <c r="C4754" s="223">
        <v>21</v>
      </c>
      <c r="D4754" s="223">
        <v>4</v>
      </c>
      <c r="E4754" s="223">
        <v>222049</v>
      </c>
    </row>
    <row r="4755" spans="1:5" ht="15">
      <c r="A4755" s="223" t="s">
        <v>551</v>
      </c>
      <c r="B4755" s="223">
        <v>21</v>
      </c>
      <c r="C4755" s="223">
        <v>21</v>
      </c>
      <c r="D4755" s="223">
        <v>5</v>
      </c>
      <c r="E4755" s="223">
        <v>7000</v>
      </c>
    </row>
    <row r="4756" spans="1:5" ht="15">
      <c r="A4756" s="223" t="s">
        <v>551</v>
      </c>
      <c r="B4756" s="223">
        <v>21</v>
      </c>
      <c r="C4756" s="223">
        <v>21</v>
      </c>
      <c r="D4756" s="223">
        <v>8</v>
      </c>
      <c r="E4756" s="223">
        <v>500</v>
      </c>
    </row>
    <row r="4757" spans="1:5" ht="15">
      <c r="A4757" s="223" t="s">
        <v>551</v>
      </c>
      <c r="B4757" s="223">
        <v>21</v>
      </c>
      <c r="C4757" s="223">
        <v>22</v>
      </c>
      <c r="D4757" s="223">
        <v>7</v>
      </c>
      <c r="E4757" s="223">
        <v>3200</v>
      </c>
    </row>
    <row r="4758" spans="1:5" ht="15">
      <c r="A4758" s="223" t="s">
        <v>551</v>
      </c>
      <c r="B4758" s="223">
        <v>21</v>
      </c>
      <c r="C4758" s="223">
        <v>25</v>
      </c>
      <c r="D4758" s="223">
        <v>3</v>
      </c>
      <c r="E4758" s="223">
        <v>206885</v>
      </c>
    </row>
    <row r="4759" spans="1:5" ht="15">
      <c r="A4759" s="223" t="s">
        <v>551</v>
      </c>
      <c r="B4759" s="223">
        <v>21</v>
      </c>
      <c r="C4759" s="223">
        <v>25</v>
      </c>
      <c r="D4759" s="223">
        <v>4</v>
      </c>
      <c r="E4759" s="223">
        <v>136746</v>
      </c>
    </row>
    <row r="4760" spans="1:5" ht="15">
      <c r="A4760" s="223" t="s">
        <v>551</v>
      </c>
      <c r="B4760" s="223">
        <v>21</v>
      </c>
      <c r="C4760" s="223">
        <v>26</v>
      </c>
      <c r="D4760" s="223">
        <v>2</v>
      </c>
      <c r="E4760" s="223">
        <v>2029095</v>
      </c>
    </row>
    <row r="4761" spans="1:5" ht="15">
      <c r="A4761" s="223" t="s">
        <v>551</v>
      </c>
      <c r="B4761" s="223">
        <v>21</v>
      </c>
      <c r="C4761" s="223">
        <v>26</v>
      </c>
      <c r="D4761" s="223">
        <v>3</v>
      </c>
      <c r="E4761" s="223">
        <v>202671</v>
      </c>
    </row>
    <row r="4762" spans="1:5" ht="15">
      <c r="A4762" s="223" t="s">
        <v>551</v>
      </c>
      <c r="B4762" s="223">
        <v>21</v>
      </c>
      <c r="C4762" s="223">
        <v>26</v>
      </c>
      <c r="D4762" s="223">
        <v>4</v>
      </c>
      <c r="E4762" s="223">
        <v>805781</v>
      </c>
    </row>
    <row r="4763" spans="1:5" ht="15">
      <c r="A4763" s="223" t="s">
        <v>551</v>
      </c>
      <c r="B4763" s="223">
        <v>21</v>
      </c>
      <c r="C4763" s="223">
        <v>26</v>
      </c>
      <c r="D4763" s="223">
        <v>5</v>
      </c>
      <c r="E4763" s="223">
        <v>24000</v>
      </c>
    </row>
    <row r="4764" spans="1:5" ht="15">
      <c r="A4764" s="223" t="s">
        <v>551</v>
      </c>
      <c r="B4764" s="223">
        <v>21</v>
      </c>
      <c r="C4764" s="223">
        <v>26</v>
      </c>
      <c r="D4764" s="223">
        <v>7</v>
      </c>
      <c r="E4764" s="223">
        <v>17700</v>
      </c>
    </row>
    <row r="4765" spans="1:5" ht="15">
      <c r="A4765" s="223" t="s">
        <v>551</v>
      </c>
      <c r="B4765" s="223">
        <v>21</v>
      </c>
      <c r="C4765" s="223">
        <v>26</v>
      </c>
      <c r="D4765" s="223">
        <v>8</v>
      </c>
      <c r="E4765" s="223">
        <v>9400</v>
      </c>
    </row>
    <row r="4766" spans="1:5" ht="15">
      <c r="A4766" s="223" t="s">
        <v>551</v>
      </c>
      <c r="B4766" s="223">
        <v>21</v>
      </c>
      <c r="C4766" s="223">
        <v>27</v>
      </c>
      <c r="D4766" s="223">
        <v>2</v>
      </c>
      <c r="E4766" s="223">
        <v>2542869</v>
      </c>
    </row>
    <row r="4767" spans="1:5" ht="15">
      <c r="A4767" s="223" t="s">
        <v>551</v>
      </c>
      <c r="B4767" s="223">
        <v>21</v>
      </c>
      <c r="C4767" s="223">
        <v>27</v>
      </c>
      <c r="D4767" s="223">
        <v>3</v>
      </c>
      <c r="E4767" s="223">
        <v>2614360</v>
      </c>
    </row>
    <row r="4768" spans="1:5" ht="15">
      <c r="A4768" s="223" t="s">
        <v>551</v>
      </c>
      <c r="B4768" s="223">
        <v>21</v>
      </c>
      <c r="C4768" s="223">
        <v>27</v>
      </c>
      <c r="D4768" s="223">
        <v>4</v>
      </c>
      <c r="E4768" s="223">
        <v>2402997</v>
      </c>
    </row>
    <row r="4769" spans="1:5" ht="15">
      <c r="A4769" s="223" t="s">
        <v>551</v>
      </c>
      <c r="B4769" s="223">
        <v>21</v>
      </c>
      <c r="C4769" s="223">
        <v>27</v>
      </c>
      <c r="D4769" s="223">
        <v>5</v>
      </c>
      <c r="E4769" s="223">
        <v>21000</v>
      </c>
    </row>
    <row r="4770" spans="1:5" ht="15">
      <c r="A4770" s="223" t="s">
        <v>551</v>
      </c>
      <c r="B4770" s="223">
        <v>21</v>
      </c>
      <c r="C4770" s="223">
        <v>27</v>
      </c>
      <c r="D4770" s="223">
        <v>7</v>
      </c>
      <c r="E4770" s="223">
        <v>292500</v>
      </c>
    </row>
    <row r="4771" spans="1:5" ht="15">
      <c r="A4771" s="223" t="s">
        <v>551</v>
      </c>
      <c r="B4771" s="223">
        <v>21</v>
      </c>
      <c r="C4771" s="223">
        <v>27</v>
      </c>
      <c r="D4771" s="223">
        <v>8</v>
      </c>
      <c r="E4771" s="223">
        <v>3000</v>
      </c>
    </row>
    <row r="4772" spans="1:5" ht="15">
      <c r="A4772" s="223" t="s">
        <v>551</v>
      </c>
      <c r="B4772" s="223">
        <v>21</v>
      </c>
      <c r="C4772" s="223">
        <v>29</v>
      </c>
      <c r="D4772" s="223">
        <v>7</v>
      </c>
      <c r="E4772" s="223">
        <v>253545</v>
      </c>
    </row>
    <row r="4773" spans="1:5" ht="15">
      <c r="A4773" s="223" t="s">
        <v>551</v>
      </c>
      <c r="B4773" s="223">
        <v>21</v>
      </c>
      <c r="C4773" s="223">
        <v>31</v>
      </c>
      <c r="D4773" s="223">
        <v>2</v>
      </c>
      <c r="E4773" s="223">
        <v>75183</v>
      </c>
    </row>
    <row r="4774" spans="1:5" ht="15">
      <c r="A4774" s="223" t="s">
        <v>551</v>
      </c>
      <c r="B4774" s="223">
        <v>21</v>
      </c>
      <c r="C4774" s="223">
        <v>31</v>
      </c>
      <c r="D4774" s="223">
        <v>4</v>
      </c>
      <c r="E4774" s="223">
        <v>17105</v>
      </c>
    </row>
    <row r="4775" spans="1:5" ht="15">
      <c r="A4775" s="223" t="s">
        <v>551</v>
      </c>
      <c r="B4775" s="223">
        <v>21</v>
      </c>
      <c r="C4775" s="223">
        <v>34</v>
      </c>
      <c r="D4775" s="223">
        <v>2</v>
      </c>
      <c r="E4775" s="223">
        <v>72184</v>
      </c>
    </row>
    <row r="4776" spans="1:5" ht="15">
      <c r="A4776" s="223" t="s">
        <v>551</v>
      </c>
      <c r="B4776" s="223">
        <v>21</v>
      </c>
      <c r="C4776" s="223">
        <v>34</v>
      </c>
      <c r="D4776" s="223">
        <v>4</v>
      </c>
      <c r="E4776" s="223">
        <v>16574</v>
      </c>
    </row>
    <row r="4777" spans="1:5" ht="15">
      <c r="A4777" s="223" t="s">
        <v>551</v>
      </c>
      <c r="B4777" s="223">
        <v>23</v>
      </c>
      <c r="C4777" s="223">
        <v>27</v>
      </c>
      <c r="D4777" s="223">
        <v>3</v>
      </c>
      <c r="E4777" s="223">
        <v>21615</v>
      </c>
    </row>
    <row r="4778" spans="1:5" ht="15">
      <c r="A4778" s="223" t="s">
        <v>551</v>
      </c>
      <c r="B4778" s="223">
        <v>23</v>
      </c>
      <c r="C4778" s="223">
        <v>27</v>
      </c>
      <c r="D4778" s="223">
        <v>4</v>
      </c>
      <c r="E4778" s="223">
        <v>14958</v>
      </c>
    </row>
    <row r="4779" spans="1:5" ht="15">
      <c r="A4779" s="223" t="s">
        <v>551</v>
      </c>
      <c r="B4779" s="223">
        <v>24</v>
      </c>
      <c r="C4779" s="223">
        <v>24</v>
      </c>
      <c r="D4779" s="223">
        <v>2</v>
      </c>
      <c r="E4779" s="223">
        <v>18293</v>
      </c>
    </row>
    <row r="4780" spans="1:5" ht="15">
      <c r="A4780" s="223" t="s">
        <v>551</v>
      </c>
      <c r="B4780" s="223">
        <v>24</v>
      </c>
      <c r="C4780" s="223">
        <v>24</v>
      </c>
      <c r="D4780" s="223">
        <v>3</v>
      </c>
      <c r="E4780" s="223">
        <v>61796</v>
      </c>
    </row>
    <row r="4781" spans="1:5" ht="15">
      <c r="A4781" s="223" t="s">
        <v>551</v>
      </c>
      <c r="B4781" s="223">
        <v>24</v>
      </c>
      <c r="C4781" s="223">
        <v>24</v>
      </c>
      <c r="D4781" s="223">
        <v>4</v>
      </c>
      <c r="E4781" s="223">
        <v>29067</v>
      </c>
    </row>
    <row r="4782" spans="1:5" ht="15">
      <c r="A4782" s="223" t="s">
        <v>551</v>
      </c>
      <c r="B4782" s="223">
        <v>24</v>
      </c>
      <c r="C4782" s="223">
        <v>26</v>
      </c>
      <c r="D4782" s="223">
        <v>5</v>
      </c>
      <c r="E4782" s="223">
        <v>18100</v>
      </c>
    </row>
    <row r="4783" spans="1:5" ht="15">
      <c r="A4783" s="223" t="s">
        <v>551</v>
      </c>
      <c r="B4783" s="223">
        <v>24</v>
      </c>
      <c r="C4783" s="223">
        <v>27</v>
      </c>
      <c r="D4783" s="223">
        <v>2</v>
      </c>
      <c r="E4783" s="223">
        <v>583515</v>
      </c>
    </row>
    <row r="4784" spans="1:5" ht="15">
      <c r="A4784" s="223" t="s">
        <v>551</v>
      </c>
      <c r="B4784" s="223">
        <v>24</v>
      </c>
      <c r="C4784" s="223">
        <v>27</v>
      </c>
      <c r="D4784" s="223">
        <v>4</v>
      </c>
      <c r="E4784" s="223">
        <v>214269</v>
      </c>
    </row>
    <row r="4785" spans="1:5" ht="15">
      <c r="A4785" s="223" t="s">
        <v>551</v>
      </c>
      <c r="B4785" s="223">
        <v>24</v>
      </c>
      <c r="C4785" s="223">
        <v>27</v>
      </c>
      <c r="D4785" s="223">
        <v>5</v>
      </c>
      <c r="E4785" s="223">
        <v>8500</v>
      </c>
    </row>
    <row r="4786" spans="1:5" ht="15">
      <c r="A4786" s="223" t="s">
        <v>551</v>
      </c>
      <c r="B4786" s="223">
        <v>24</v>
      </c>
      <c r="C4786" s="223">
        <v>27</v>
      </c>
      <c r="D4786" s="223">
        <v>7</v>
      </c>
      <c r="E4786" s="223">
        <v>763657</v>
      </c>
    </row>
    <row r="4787" spans="1:5" ht="15">
      <c r="A4787" s="223" t="s">
        <v>553</v>
      </c>
      <c r="B4787" s="223">
        <v>21</v>
      </c>
      <c r="C4787" s="223">
        <v>21</v>
      </c>
      <c r="D4787" s="223">
        <v>2</v>
      </c>
      <c r="E4787" s="223">
        <v>171867</v>
      </c>
    </row>
    <row r="4788" spans="1:5" ht="15">
      <c r="A4788" s="223" t="s">
        <v>553</v>
      </c>
      <c r="B4788" s="223">
        <v>21</v>
      </c>
      <c r="C4788" s="223">
        <v>21</v>
      </c>
      <c r="D4788" s="223">
        <v>3</v>
      </c>
      <c r="E4788" s="223">
        <v>82155</v>
      </c>
    </row>
    <row r="4789" spans="1:5" ht="15">
      <c r="A4789" s="223" t="s">
        <v>553</v>
      </c>
      <c r="B4789" s="223">
        <v>21</v>
      </c>
      <c r="C4789" s="223">
        <v>21</v>
      </c>
      <c r="D4789" s="223">
        <v>4</v>
      </c>
      <c r="E4789" s="223">
        <v>95897</v>
      </c>
    </row>
    <row r="4790" spans="1:5" ht="15">
      <c r="A4790" s="223" t="s">
        <v>553</v>
      </c>
      <c r="B4790" s="223">
        <v>21</v>
      </c>
      <c r="C4790" s="223">
        <v>21</v>
      </c>
      <c r="D4790" s="223">
        <v>5</v>
      </c>
      <c r="E4790" s="223">
        <v>2000</v>
      </c>
    </row>
    <row r="4791" spans="1:5" ht="15">
      <c r="A4791" s="223" t="s">
        <v>553</v>
      </c>
      <c r="B4791" s="223">
        <v>21</v>
      </c>
      <c r="C4791" s="223">
        <v>21</v>
      </c>
      <c r="D4791" s="223">
        <v>8</v>
      </c>
      <c r="E4791" s="223">
        <v>3000</v>
      </c>
    </row>
    <row r="4792" spans="1:5" ht="15">
      <c r="A4792" s="223" t="s">
        <v>553</v>
      </c>
      <c r="B4792" s="223">
        <v>21</v>
      </c>
      <c r="C4792" s="223">
        <v>26</v>
      </c>
      <c r="D4792" s="223">
        <v>2</v>
      </c>
      <c r="E4792" s="223">
        <v>738204</v>
      </c>
    </row>
    <row r="4793" spans="1:5" ht="15">
      <c r="A4793" s="223" t="s">
        <v>553</v>
      </c>
      <c r="B4793" s="223">
        <v>21</v>
      </c>
      <c r="C4793" s="223">
        <v>26</v>
      </c>
      <c r="D4793" s="223">
        <v>3</v>
      </c>
      <c r="E4793" s="223">
        <v>114537</v>
      </c>
    </row>
    <row r="4794" spans="1:5" ht="15">
      <c r="A4794" s="223" t="s">
        <v>553</v>
      </c>
      <c r="B4794" s="223">
        <v>21</v>
      </c>
      <c r="C4794" s="223">
        <v>26</v>
      </c>
      <c r="D4794" s="223">
        <v>4</v>
      </c>
      <c r="E4794" s="223">
        <v>355055</v>
      </c>
    </row>
    <row r="4795" spans="1:5" ht="15">
      <c r="A4795" s="223" t="s">
        <v>553</v>
      </c>
      <c r="B4795" s="223">
        <v>21</v>
      </c>
      <c r="C4795" s="223">
        <v>26</v>
      </c>
      <c r="D4795" s="223">
        <v>5</v>
      </c>
      <c r="E4795" s="223">
        <v>16000</v>
      </c>
    </row>
    <row r="4796" spans="1:5" ht="15">
      <c r="A4796" s="223" t="s">
        <v>553</v>
      </c>
      <c r="B4796" s="223">
        <v>21</v>
      </c>
      <c r="C4796" s="223">
        <v>26</v>
      </c>
      <c r="D4796" s="223">
        <v>7</v>
      </c>
      <c r="E4796" s="223">
        <v>120000</v>
      </c>
    </row>
    <row r="4797" spans="1:5" ht="15">
      <c r="A4797" s="223" t="s">
        <v>553</v>
      </c>
      <c r="B4797" s="223">
        <v>21</v>
      </c>
      <c r="C4797" s="223">
        <v>27</v>
      </c>
      <c r="D4797" s="223">
        <v>2</v>
      </c>
      <c r="E4797" s="223">
        <v>1727435</v>
      </c>
    </row>
    <row r="4798" spans="1:5" ht="15">
      <c r="A4798" s="223" t="s">
        <v>553</v>
      </c>
      <c r="B4798" s="223">
        <v>21</v>
      </c>
      <c r="C4798" s="223">
        <v>27</v>
      </c>
      <c r="D4798" s="223">
        <v>3</v>
      </c>
      <c r="E4798" s="223">
        <v>696868</v>
      </c>
    </row>
    <row r="4799" spans="1:5" ht="15">
      <c r="A4799" s="223" t="s">
        <v>553</v>
      </c>
      <c r="B4799" s="223">
        <v>21</v>
      </c>
      <c r="C4799" s="223">
        <v>27</v>
      </c>
      <c r="D4799" s="223">
        <v>4</v>
      </c>
      <c r="E4799" s="223">
        <v>1150088</v>
      </c>
    </row>
    <row r="4800" spans="1:5" ht="15">
      <c r="A4800" s="223" t="s">
        <v>553</v>
      </c>
      <c r="B4800" s="223">
        <v>21</v>
      </c>
      <c r="C4800" s="223">
        <v>27</v>
      </c>
      <c r="D4800" s="223">
        <v>5</v>
      </c>
      <c r="E4800" s="223">
        <v>26500</v>
      </c>
    </row>
    <row r="4801" spans="1:5" ht="15">
      <c r="A4801" s="223" t="s">
        <v>553</v>
      </c>
      <c r="B4801" s="223">
        <v>21</v>
      </c>
      <c r="C4801" s="223">
        <v>27</v>
      </c>
      <c r="D4801" s="223">
        <v>7</v>
      </c>
      <c r="E4801" s="223">
        <v>94200</v>
      </c>
    </row>
    <row r="4802" spans="1:5" ht="15">
      <c r="A4802" s="223" t="s">
        <v>553</v>
      </c>
      <c r="B4802" s="223">
        <v>21</v>
      </c>
      <c r="C4802" s="223">
        <v>27</v>
      </c>
      <c r="D4802" s="223">
        <v>8</v>
      </c>
      <c r="E4802" s="223">
        <v>500</v>
      </c>
    </row>
    <row r="4803" spans="1:5" ht="15">
      <c r="A4803" s="223" t="s">
        <v>553</v>
      </c>
      <c r="B4803" s="223">
        <v>21</v>
      </c>
      <c r="C4803" s="223">
        <v>31</v>
      </c>
      <c r="D4803" s="223">
        <v>7</v>
      </c>
      <c r="E4803" s="223">
        <v>6000</v>
      </c>
    </row>
    <row r="4804" spans="1:5" ht="15">
      <c r="A4804" s="223" t="s">
        <v>553</v>
      </c>
      <c r="B4804" s="223">
        <v>21</v>
      </c>
      <c r="C4804" s="223">
        <v>31</v>
      </c>
      <c r="D4804" s="223">
        <v>8</v>
      </c>
      <c r="E4804" s="223">
        <v>1500</v>
      </c>
    </row>
    <row r="4805" spans="1:5" ht="15">
      <c r="A4805" s="223" t="s">
        <v>553</v>
      </c>
      <c r="B4805" s="223">
        <v>23</v>
      </c>
      <c r="C4805" s="223">
        <v>27</v>
      </c>
      <c r="D4805" s="223">
        <v>3</v>
      </c>
      <c r="E4805" s="223">
        <v>57774</v>
      </c>
    </row>
    <row r="4806" spans="1:5" ht="15">
      <c r="A4806" s="223" t="s">
        <v>553</v>
      </c>
      <c r="B4806" s="223">
        <v>23</v>
      </c>
      <c r="C4806" s="223">
        <v>27</v>
      </c>
      <c r="D4806" s="223">
        <v>4</v>
      </c>
      <c r="E4806" s="223">
        <v>43642</v>
      </c>
    </row>
    <row r="4807" spans="1:5" ht="15">
      <c r="A4807" s="223" t="s">
        <v>553</v>
      </c>
      <c r="B4807" s="223">
        <v>24</v>
      </c>
      <c r="C4807" s="223">
        <v>26</v>
      </c>
      <c r="D4807" s="223">
        <v>3</v>
      </c>
      <c r="E4807" s="223">
        <v>90824</v>
      </c>
    </row>
    <row r="4808" spans="1:5" ht="15">
      <c r="A4808" s="223" t="s">
        <v>553</v>
      </c>
      <c r="B4808" s="223">
        <v>24</v>
      </c>
      <c r="C4808" s="223">
        <v>26</v>
      </c>
      <c r="D4808" s="223">
        <v>4</v>
      </c>
      <c r="E4808" s="223">
        <v>49849</v>
      </c>
    </row>
    <row r="4809" spans="1:5" ht="15">
      <c r="A4809" s="223" t="s">
        <v>553</v>
      </c>
      <c r="B4809" s="223">
        <v>24</v>
      </c>
      <c r="C4809" s="223">
        <v>27</v>
      </c>
      <c r="D4809" s="223">
        <v>3</v>
      </c>
      <c r="E4809" s="223">
        <v>383380</v>
      </c>
    </row>
    <row r="4810" spans="1:5" ht="15">
      <c r="A4810" s="223" t="s">
        <v>553</v>
      </c>
      <c r="B4810" s="223">
        <v>24</v>
      </c>
      <c r="C4810" s="223">
        <v>27</v>
      </c>
      <c r="D4810" s="223">
        <v>4</v>
      </c>
      <c r="E4810" s="223">
        <v>254720</v>
      </c>
    </row>
    <row r="4811" spans="1:5" ht="15">
      <c r="A4811" s="223" t="s">
        <v>555</v>
      </c>
      <c r="B4811" s="223">
        <v>21</v>
      </c>
      <c r="C4811" s="223">
        <v>21</v>
      </c>
      <c r="D4811" s="223">
        <v>2</v>
      </c>
      <c r="E4811" s="223">
        <v>28862</v>
      </c>
    </row>
    <row r="4812" spans="1:5" ht="15">
      <c r="A4812" s="223" t="s">
        <v>555</v>
      </c>
      <c r="B4812" s="223">
        <v>21</v>
      </c>
      <c r="C4812" s="223">
        <v>21</v>
      </c>
      <c r="D4812" s="223">
        <v>4</v>
      </c>
      <c r="E4812" s="223">
        <v>9035</v>
      </c>
    </row>
    <row r="4813" spans="1:5" ht="15">
      <c r="A4813" s="223" t="s">
        <v>555</v>
      </c>
      <c r="B4813" s="223">
        <v>21</v>
      </c>
      <c r="C4813" s="223">
        <v>26</v>
      </c>
      <c r="D4813" s="223">
        <v>2</v>
      </c>
      <c r="E4813" s="223">
        <v>56048</v>
      </c>
    </row>
    <row r="4814" spans="1:5" ht="15">
      <c r="A4814" s="223" t="s">
        <v>555</v>
      </c>
      <c r="B4814" s="223">
        <v>21</v>
      </c>
      <c r="C4814" s="223">
        <v>26</v>
      </c>
      <c r="D4814" s="223">
        <v>4</v>
      </c>
      <c r="E4814" s="223">
        <v>24050</v>
      </c>
    </row>
    <row r="4815" spans="1:5" ht="15">
      <c r="A4815" s="223" t="s">
        <v>555</v>
      </c>
      <c r="B4815" s="223">
        <v>21</v>
      </c>
      <c r="C4815" s="223">
        <v>26</v>
      </c>
      <c r="D4815" s="223">
        <v>7</v>
      </c>
      <c r="E4815" s="223">
        <v>15200</v>
      </c>
    </row>
    <row r="4816" spans="1:5" ht="15">
      <c r="A4816" s="223" t="s">
        <v>555</v>
      </c>
      <c r="B4816" s="223">
        <v>21</v>
      </c>
      <c r="C4816" s="223">
        <v>26</v>
      </c>
      <c r="D4816" s="223">
        <v>8</v>
      </c>
      <c r="E4816" s="223">
        <v>250</v>
      </c>
    </row>
    <row r="4817" spans="1:5" ht="15">
      <c r="A4817" s="223" t="s">
        <v>555</v>
      </c>
      <c r="B4817" s="223">
        <v>21</v>
      </c>
      <c r="C4817" s="223">
        <v>27</v>
      </c>
      <c r="D4817" s="223">
        <v>2</v>
      </c>
      <c r="E4817" s="223">
        <v>99786</v>
      </c>
    </row>
    <row r="4818" spans="1:5" ht="15">
      <c r="A4818" s="223" t="s">
        <v>555</v>
      </c>
      <c r="B4818" s="223">
        <v>21</v>
      </c>
      <c r="C4818" s="223">
        <v>27</v>
      </c>
      <c r="D4818" s="223">
        <v>3</v>
      </c>
      <c r="E4818" s="223">
        <v>90128</v>
      </c>
    </row>
    <row r="4819" spans="1:5" ht="15">
      <c r="A4819" s="223" t="s">
        <v>555</v>
      </c>
      <c r="B4819" s="223">
        <v>21</v>
      </c>
      <c r="C4819" s="223">
        <v>27</v>
      </c>
      <c r="D4819" s="223">
        <v>4</v>
      </c>
      <c r="E4819" s="223">
        <v>110869</v>
      </c>
    </row>
    <row r="4820" spans="1:5" ht="15">
      <c r="A4820" s="223" t="s">
        <v>555</v>
      </c>
      <c r="B4820" s="223">
        <v>21</v>
      </c>
      <c r="C4820" s="223">
        <v>27</v>
      </c>
      <c r="D4820" s="223">
        <v>5</v>
      </c>
      <c r="E4820" s="223">
        <v>10000</v>
      </c>
    </row>
    <row r="4821" spans="1:5" ht="15">
      <c r="A4821" s="223" t="s">
        <v>555</v>
      </c>
      <c r="B4821" s="223">
        <v>21</v>
      </c>
      <c r="C4821" s="223">
        <v>34</v>
      </c>
      <c r="D4821" s="223">
        <v>7</v>
      </c>
      <c r="E4821" s="223">
        <v>2675</v>
      </c>
    </row>
    <row r="4822" spans="1:5" ht="15">
      <c r="A4822" s="223" t="s">
        <v>555</v>
      </c>
      <c r="B4822" s="223">
        <v>24</v>
      </c>
      <c r="C4822" s="223">
        <v>26</v>
      </c>
      <c r="D4822" s="223">
        <v>2</v>
      </c>
      <c r="E4822" s="223">
        <v>6228</v>
      </c>
    </row>
    <row r="4823" spans="1:5" ht="15">
      <c r="A4823" s="223" t="s">
        <v>555</v>
      </c>
      <c r="B4823" s="223">
        <v>24</v>
      </c>
      <c r="C4823" s="223">
        <v>26</v>
      </c>
      <c r="D4823" s="223">
        <v>4</v>
      </c>
      <c r="E4823" s="223">
        <v>2672</v>
      </c>
    </row>
    <row r="4824" spans="1:5" ht="15">
      <c r="A4824" s="223" t="s">
        <v>555</v>
      </c>
      <c r="B4824" s="223">
        <v>24</v>
      </c>
      <c r="C4824" s="223">
        <v>26</v>
      </c>
      <c r="D4824" s="223">
        <v>7</v>
      </c>
      <c r="E4824" s="223">
        <v>25500</v>
      </c>
    </row>
    <row r="4825" spans="1:5" ht="15">
      <c r="A4825" s="223" t="s">
        <v>555</v>
      </c>
      <c r="B4825" s="223">
        <v>24</v>
      </c>
      <c r="C4825" s="223">
        <v>27</v>
      </c>
      <c r="D4825" s="223">
        <v>2</v>
      </c>
      <c r="E4825" s="223">
        <v>7195</v>
      </c>
    </row>
    <row r="4826" spans="1:5" ht="15">
      <c r="A4826" s="223" t="s">
        <v>555</v>
      </c>
      <c r="B4826" s="223">
        <v>24</v>
      </c>
      <c r="C4826" s="223">
        <v>27</v>
      </c>
      <c r="D4826" s="223">
        <v>3</v>
      </c>
      <c r="E4826" s="223">
        <v>18288</v>
      </c>
    </row>
    <row r="4827" spans="1:5" ht="15">
      <c r="A4827" s="223" t="s">
        <v>555</v>
      </c>
      <c r="B4827" s="223">
        <v>24</v>
      </c>
      <c r="C4827" s="223">
        <v>27</v>
      </c>
      <c r="D4827" s="223">
        <v>4</v>
      </c>
      <c r="E4827" s="223">
        <v>16959</v>
      </c>
    </row>
    <row r="4828" spans="1:5" ht="15">
      <c r="A4828" s="223" t="s">
        <v>557</v>
      </c>
      <c r="B4828" s="223">
        <v>21</v>
      </c>
      <c r="C4828" s="223">
        <v>21</v>
      </c>
      <c r="D4828" s="223">
        <v>2</v>
      </c>
      <c r="E4828" s="223">
        <v>160605</v>
      </c>
    </row>
    <row r="4829" spans="1:5" ht="15">
      <c r="A4829" s="223" t="s">
        <v>557</v>
      </c>
      <c r="B4829" s="223">
        <v>21</v>
      </c>
      <c r="C4829" s="223">
        <v>21</v>
      </c>
      <c r="D4829" s="223">
        <v>3</v>
      </c>
      <c r="E4829" s="223">
        <v>98550</v>
      </c>
    </row>
    <row r="4830" spans="1:5" ht="15">
      <c r="A4830" s="223" t="s">
        <v>557</v>
      </c>
      <c r="B4830" s="223">
        <v>21</v>
      </c>
      <c r="C4830" s="223">
        <v>21</v>
      </c>
      <c r="D4830" s="223">
        <v>4</v>
      </c>
      <c r="E4830" s="223">
        <v>92309</v>
      </c>
    </row>
    <row r="4831" spans="1:5" ht="15">
      <c r="A4831" s="223" t="s">
        <v>557</v>
      </c>
      <c r="B4831" s="223">
        <v>21</v>
      </c>
      <c r="C4831" s="223">
        <v>21</v>
      </c>
      <c r="D4831" s="223">
        <v>5</v>
      </c>
      <c r="E4831" s="223">
        <v>1000</v>
      </c>
    </row>
    <row r="4832" spans="1:5" ht="15">
      <c r="A4832" s="223" t="s">
        <v>557</v>
      </c>
      <c r="B4832" s="223">
        <v>21</v>
      </c>
      <c r="C4832" s="223">
        <v>21</v>
      </c>
      <c r="D4832" s="223">
        <v>7</v>
      </c>
      <c r="E4832" s="223">
        <v>1000</v>
      </c>
    </row>
    <row r="4833" spans="1:5" ht="15">
      <c r="A4833" s="223" t="s">
        <v>557</v>
      </c>
      <c r="B4833" s="223">
        <v>21</v>
      </c>
      <c r="C4833" s="223">
        <v>25</v>
      </c>
      <c r="D4833" s="223">
        <v>3</v>
      </c>
      <c r="E4833" s="223">
        <v>89271</v>
      </c>
    </row>
    <row r="4834" spans="1:5" ht="15">
      <c r="A4834" s="223" t="s">
        <v>557</v>
      </c>
      <c r="B4834" s="223">
        <v>21</v>
      </c>
      <c r="C4834" s="223">
        <v>25</v>
      </c>
      <c r="D4834" s="223">
        <v>4</v>
      </c>
      <c r="E4834" s="223">
        <v>91029</v>
      </c>
    </row>
    <row r="4835" spans="1:5" ht="15">
      <c r="A4835" s="223" t="s">
        <v>557</v>
      </c>
      <c r="B4835" s="223">
        <v>21</v>
      </c>
      <c r="C4835" s="223">
        <v>26</v>
      </c>
      <c r="D4835" s="223">
        <v>2</v>
      </c>
      <c r="E4835" s="223">
        <v>405334</v>
      </c>
    </row>
    <row r="4836" spans="1:5" ht="15">
      <c r="A4836" s="223" t="s">
        <v>557</v>
      </c>
      <c r="B4836" s="223">
        <v>21</v>
      </c>
      <c r="C4836" s="223">
        <v>26</v>
      </c>
      <c r="D4836" s="223">
        <v>3</v>
      </c>
      <c r="E4836" s="223">
        <v>95751</v>
      </c>
    </row>
    <row r="4837" spans="1:5" ht="15">
      <c r="A4837" s="223" t="s">
        <v>557</v>
      </c>
      <c r="B4837" s="223">
        <v>21</v>
      </c>
      <c r="C4837" s="223">
        <v>26</v>
      </c>
      <c r="D4837" s="223">
        <v>4</v>
      </c>
      <c r="E4837" s="223">
        <v>201794</v>
      </c>
    </row>
    <row r="4838" spans="1:5" ht="15">
      <c r="A4838" s="223" t="s">
        <v>557</v>
      </c>
      <c r="B4838" s="223">
        <v>21</v>
      </c>
      <c r="C4838" s="223">
        <v>26</v>
      </c>
      <c r="D4838" s="223">
        <v>5</v>
      </c>
      <c r="E4838" s="223">
        <v>5000</v>
      </c>
    </row>
    <row r="4839" spans="1:5" ht="15">
      <c r="A4839" s="223" t="s">
        <v>557</v>
      </c>
      <c r="B4839" s="223">
        <v>21</v>
      </c>
      <c r="C4839" s="223">
        <v>26</v>
      </c>
      <c r="D4839" s="223">
        <v>7</v>
      </c>
      <c r="E4839" s="223">
        <v>390000</v>
      </c>
    </row>
    <row r="4840" spans="1:5" ht="15">
      <c r="A4840" s="223" t="s">
        <v>557</v>
      </c>
      <c r="B4840" s="223">
        <v>21</v>
      </c>
      <c r="C4840" s="223">
        <v>27</v>
      </c>
      <c r="D4840" s="223">
        <v>2</v>
      </c>
      <c r="E4840" s="223">
        <v>1771645</v>
      </c>
    </row>
    <row r="4841" spans="1:5" ht="15">
      <c r="A4841" s="223" t="s">
        <v>557</v>
      </c>
      <c r="B4841" s="223">
        <v>21</v>
      </c>
      <c r="C4841" s="223">
        <v>27</v>
      </c>
      <c r="D4841" s="223">
        <v>3</v>
      </c>
      <c r="E4841" s="223">
        <v>910078</v>
      </c>
    </row>
    <row r="4842" spans="1:5" ht="15">
      <c r="A4842" s="223" t="s">
        <v>557</v>
      </c>
      <c r="B4842" s="223">
        <v>21</v>
      </c>
      <c r="C4842" s="223">
        <v>27</v>
      </c>
      <c r="D4842" s="223">
        <v>4</v>
      </c>
      <c r="E4842" s="223">
        <v>1178438</v>
      </c>
    </row>
    <row r="4843" spans="1:5" ht="15">
      <c r="A4843" s="223" t="s">
        <v>557</v>
      </c>
      <c r="B4843" s="223">
        <v>21</v>
      </c>
      <c r="C4843" s="223">
        <v>27</v>
      </c>
      <c r="D4843" s="223">
        <v>5</v>
      </c>
      <c r="E4843" s="223">
        <v>21000</v>
      </c>
    </row>
    <row r="4844" spans="1:5" ht="15">
      <c r="A4844" s="223" t="s">
        <v>557</v>
      </c>
      <c r="B4844" s="223">
        <v>21</v>
      </c>
      <c r="C4844" s="223">
        <v>27</v>
      </c>
      <c r="D4844" s="223">
        <v>7</v>
      </c>
      <c r="E4844" s="223">
        <v>111000</v>
      </c>
    </row>
    <row r="4845" spans="1:5" ht="15">
      <c r="A4845" s="223" t="s">
        <v>557</v>
      </c>
      <c r="B4845" s="223">
        <v>21</v>
      </c>
      <c r="C4845" s="223">
        <v>31</v>
      </c>
      <c r="D4845" s="223">
        <v>2</v>
      </c>
      <c r="E4845" s="223">
        <v>9568</v>
      </c>
    </row>
    <row r="4846" spans="1:5" ht="15">
      <c r="A4846" s="223" t="s">
        <v>557</v>
      </c>
      <c r="B4846" s="223">
        <v>21</v>
      </c>
      <c r="C4846" s="223">
        <v>31</v>
      </c>
      <c r="D4846" s="223">
        <v>4</v>
      </c>
      <c r="E4846" s="223">
        <v>2199</v>
      </c>
    </row>
    <row r="4847" spans="1:5" ht="15">
      <c r="A4847" s="223" t="s">
        <v>557</v>
      </c>
      <c r="B4847" s="223">
        <v>21</v>
      </c>
      <c r="C4847" s="223">
        <v>34</v>
      </c>
      <c r="D4847" s="223">
        <v>2</v>
      </c>
      <c r="E4847" s="223">
        <v>34752</v>
      </c>
    </row>
    <row r="4848" spans="1:5" ht="15">
      <c r="A4848" s="223" t="s">
        <v>557</v>
      </c>
      <c r="B4848" s="223">
        <v>21</v>
      </c>
      <c r="C4848" s="223">
        <v>34</v>
      </c>
      <c r="D4848" s="223">
        <v>4</v>
      </c>
      <c r="E4848" s="223">
        <v>7947</v>
      </c>
    </row>
    <row r="4849" spans="1:5" ht="15">
      <c r="A4849" s="223" t="s">
        <v>557</v>
      </c>
      <c r="B4849" s="223">
        <v>24</v>
      </c>
      <c r="C4849" s="223">
        <v>26</v>
      </c>
      <c r="D4849" s="223">
        <v>2</v>
      </c>
      <c r="E4849" s="223">
        <v>180464</v>
      </c>
    </row>
    <row r="4850" spans="1:5" ht="15">
      <c r="A4850" s="223" t="s">
        <v>557</v>
      </c>
      <c r="B4850" s="223">
        <v>24</v>
      </c>
      <c r="C4850" s="223">
        <v>26</v>
      </c>
      <c r="D4850" s="223">
        <v>4</v>
      </c>
      <c r="E4850" s="223">
        <v>65859</v>
      </c>
    </row>
    <row r="4851" spans="1:5" ht="15">
      <c r="A4851" s="223" t="s">
        <v>557</v>
      </c>
      <c r="B4851" s="223">
        <v>24</v>
      </c>
      <c r="C4851" s="223">
        <v>27</v>
      </c>
      <c r="D4851" s="223">
        <v>2</v>
      </c>
      <c r="E4851" s="223">
        <v>115571</v>
      </c>
    </row>
    <row r="4852" spans="1:5" ht="15">
      <c r="A4852" s="223" t="s">
        <v>557</v>
      </c>
      <c r="B4852" s="223">
        <v>24</v>
      </c>
      <c r="C4852" s="223">
        <v>27</v>
      </c>
      <c r="D4852" s="223">
        <v>3</v>
      </c>
      <c r="E4852" s="223">
        <v>69651</v>
      </c>
    </row>
    <row r="4853" spans="1:5" ht="15">
      <c r="A4853" s="223" t="s">
        <v>557</v>
      </c>
      <c r="B4853" s="223">
        <v>24</v>
      </c>
      <c r="C4853" s="223">
        <v>27</v>
      </c>
      <c r="D4853" s="223">
        <v>4</v>
      </c>
      <c r="E4853" s="223">
        <v>77361</v>
      </c>
    </row>
    <row r="4854" spans="1:5" ht="15">
      <c r="A4854" s="223" t="s">
        <v>557</v>
      </c>
      <c r="B4854" s="223">
        <v>24</v>
      </c>
      <c r="C4854" s="223">
        <v>27</v>
      </c>
      <c r="D4854" s="223">
        <v>5</v>
      </c>
      <c r="E4854" s="223">
        <v>1455</v>
      </c>
    </row>
    <row r="4855" spans="1:5" ht="15">
      <c r="A4855" s="223" t="s">
        <v>557</v>
      </c>
      <c r="B4855" s="223">
        <v>24</v>
      </c>
      <c r="C4855" s="223">
        <v>31</v>
      </c>
      <c r="D4855" s="223">
        <v>2</v>
      </c>
      <c r="E4855" s="223">
        <v>5427</v>
      </c>
    </row>
    <row r="4856" spans="1:5" ht="15">
      <c r="A4856" s="223" t="s">
        <v>557</v>
      </c>
      <c r="B4856" s="223">
        <v>24</v>
      </c>
      <c r="C4856" s="223">
        <v>31</v>
      </c>
      <c r="D4856" s="223">
        <v>4</v>
      </c>
      <c r="E4856" s="223">
        <v>1243</v>
      </c>
    </row>
    <row r="4857" spans="1:5" ht="15">
      <c r="A4857" s="223" t="s">
        <v>561</v>
      </c>
      <c r="B4857" s="223">
        <v>21</v>
      </c>
      <c r="C4857" s="223">
        <v>21</v>
      </c>
      <c r="D4857" s="223">
        <v>0</v>
      </c>
      <c r="E4857" s="223">
        <v>125</v>
      </c>
    </row>
    <row r="4858" spans="1:5" ht="15">
      <c r="A4858" s="223" t="s">
        <v>561</v>
      </c>
      <c r="B4858" s="223">
        <v>21</v>
      </c>
      <c r="C4858" s="223">
        <v>21</v>
      </c>
      <c r="D4858" s="223">
        <v>2</v>
      </c>
      <c r="E4858" s="223">
        <v>135770</v>
      </c>
    </row>
    <row r="4859" spans="1:5" ht="15">
      <c r="A4859" s="223" t="s">
        <v>561</v>
      </c>
      <c r="B4859" s="223">
        <v>21</v>
      </c>
      <c r="C4859" s="223">
        <v>21</v>
      </c>
      <c r="D4859" s="223">
        <v>3</v>
      </c>
      <c r="E4859" s="223">
        <v>228484</v>
      </c>
    </row>
    <row r="4860" spans="1:5" ht="15">
      <c r="A4860" s="223" t="s">
        <v>561</v>
      </c>
      <c r="B4860" s="223">
        <v>21</v>
      </c>
      <c r="C4860" s="223">
        <v>21</v>
      </c>
      <c r="D4860" s="223">
        <v>4</v>
      </c>
      <c r="E4860" s="223">
        <v>148576</v>
      </c>
    </row>
    <row r="4861" spans="1:5" ht="15">
      <c r="A4861" s="223" t="s">
        <v>561</v>
      </c>
      <c r="B4861" s="223">
        <v>21</v>
      </c>
      <c r="C4861" s="223">
        <v>21</v>
      </c>
      <c r="D4861" s="223">
        <v>5</v>
      </c>
      <c r="E4861" s="223">
        <v>3000</v>
      </c>
    </row>
    <row r="4862" spans="1:5" ht="15">
      <c r="A4862" s="223" t="s">
        <v>561</v>
      </c>
      <c r="B4862" s="223">
        <v>21</v>
      </c>
      <c r="C4862" s="223">
        <v>21</v>
      </c>
      <c r="D4862" s="223">
        <v>7</v>
      </c>
      <c r="E4862" s="223">
        <v>8000</v>
      </c>
    </row>
    <row r="4863" spans="1:5" ht="15">
      <c r="A4863" s="223" t="s">
        <v>561</v>
      </c>
      <c r="B4863" s="223">
        <v>21</v>
      </c>
      <c r="C4863" s="223">
        <v>21</v>
      </c>
      <c r="D4863" s="223">
        <v>8</v>
      </c>
      <c r="E4863" s="223">
        <v>500</v>
      </c>
    </row>
    <row r="4864" spans="1:5" ht="15">
      <c r="A4864" s="223" t="s">
        <v>561</v>
      </c>
      <c r="B4864" s="223">
        <v>21</v>
      </c>
      <c r="C4864" s="223">
        <v>26</v>
      </c>
      <c r="D4864" s="223">
        <v>2</v>
      </c>
      <c r="E4864" s="223">
        <v>1132582</v>
      </c>
    </row>
    <row r="4865" spans="1:5" ht="15">
      <c r="A4865" s="223" t="s">
        <v>561</v>
      </c>
      <c r="B4865" s="223">
        <v>21</v>
      </c>
      <c r="C4865" s="223">
        <v>26</v>
      </c>
      <c r="D4865" s="223">
        <v>3</v>
      </c>
      <c r="E4865" s="223">
        <v>45716</v>
      </c>
    </row>
    <row r="4866" spans="1:5" ht="15">
      <c r="A4866" s="223" t="s">
        <v>561</v>
      </c>
      <c r="B4866" s="223">
        <v>21</v>
      </c>
      <c r="C4866" s="223">
        <v>26</v>
      </c>
      <c r="D4866" s="223">
        <v>4</v>
      </c>
      <c r="E4866" s="223">
        <v>409354</v>
      </c>
    </row>
    <row r="4867" spans="1:5" ht="15">
      <c r="A4867" s="223" t="s">
        <v>561</v>
      </c>
      <c r="B4867" s="223">
        <v>21</v>
      </c>
      <c r="C4867" s="223">
        <v>26</v>
      </c>
      <c r="D4867" s="223">
        <v>5</v>
      </c>
      <c r="E4867" s="223">
        <v>4500</v>
      </c>
    </row>
    <row r="4868" spans="1:5" ht="15">
      <c r="A4868" s="223" t="s">
        <v>561</v>
      </c>
      <c r="B4868" s="223">
        <v>21</v>
      </c>
      <c r="C4868" s="223">
        <v>26</v>
      </c>
      <c r="D4868" s="223">
        <v>8</v>
      </c>
      <c r="E4868" s="223">
        <v>1000</v>
      </c>
    </row>
    <row r="4869" spans="1:5" ht="15">
      <c r="A4869" s="223" t="s">
        <v>561</v>
      </c>
      <c r="B4869" s="223">
        <v>21</v>
      </c>
      <c r="C4869" s="223">
        <v>27</v>
      </c>
      <c r="D4869" s="223">
        <v>0</v>
      </c>
      <c r="E4869" s="223">
        <v>650</v>
      </c>
    </row>
    <row r="4870" spans="1:5" ht="15">
      <c r="A4870" s="223" t="s">
        <v>561</v>
      </c>
      <c r="B4870" s="223">
        <v>21</v>
      </c>
      <c r="C4870" s="223">
        <v>27</v>
      </c>
      <c r="D4870" s="223">
        <v>2</v>
      </c>
      <c r="E4870" s="223">
        <v>2744253</v>
      </c>
    </row>
    <row r="4871" spans="1:5" ht="15">
      <c r="A4871" s="223" t="s">
        <v>561</v>
      </c>
      <c r="B4871" s="223">
        <v>21</v>
      </c>
      <c r="C4871" s="223">
        <v>27</v>
      </c>
      <c r="D4871" s="223">
        <v>3</v>
      </c>
      <c r="E4871" s="223">
        <v>1515601</v>
      </c>
    </row>
    <row r="4872" spans="1:5" ht="15">
      <c r="A4872" s="223" t="s">
        <v>561</v>
      </c>
      <c r="B4872" s="223">
        <v>21</v>
      </c>
      <c r="C4872" s="223">
        <v>27</v>
      </c>
      <c r="D4872" s="223">
        <v>4</v>
      </c>
      <c r="E4872" s="223">
        <v>1985063</v>
      </c>
    </row>
    <row r="4873" spans="1:5" ht="15">
      <c r="A4873" s="223" t="s">
        <v>561</v>
      </c>
      <c r="B4873" s="223">
        <v>21</v>
      </c>
      <c r="C4873" s="223">
        <v>27</v>
      </c>
      <c r="D4873" s="223">
        <v>5</v>
      </c>
      <c r="E4873" s="223">
        <v>30000</v>
      </c>
    </row>
    <row r="4874" spans="1:5" ht="15">
      <c r="A4874" s="223" t="s">
        <v>561</v>
      </c>
      <c r="B4874" s="223">
        <v>21</v>
      </c>
      <c r="C4874" s="223">
        <v>27</v>
      </c>
      <c r="D4874" s="223">
        <v>7</v>
      </c>
      <c r="E4874" s="223">
        <v>295816</v>
      </c>
    </row>
    <row r="4875" spans="1:5" ht="15">
      <c r="A4875" s="223" t="s">
        <v>561</v>
      </c>
      <c r="B4875" s="223">
        <v>21</v>
      </c>
      <c r="C4875" s="223">
        <v>27</v>
      </c>
      <c r="D4875" s="223">
        <v>8</v>
      </c>
      <c r="E4875" s="223">
        <v>1500</v>
      </c>
    </row>
    <row r="4876" spans="1:5" ht="15">
      <c r="A4876" s="223" t="s">
        <v>561</v>
      </c>
      <c r="B4876" s="223">
        <v>21</v>
      </c>
      <c r="C4876" s="223">
        <v>31</v>
      </c>
      <c r="D4876" s="223">
        <v>2</v>
      </c>
      <c r="E4876" s="223">
        <v>5249</v>
      </c>
    </row>
    <row r="4877" spans="1:5" ht="15">
      <c r="A4877" s="223" t="s">
        <v>561</v>
      </c>
      <c r="B4877" s="223">
        <v>21</v>
      </c>
      <c r="C4877" s="223">
        <v>31</v>
      </c>
      <c r="D4877" s="223">
        <v>3</v>
      </c>
      <c r="E4877" s="223">
        <v>9066</v>
      </c>
    </row>
    <row r="4878" spans="1:5" ht="15">
      <c r="A4878" s="223" t="s">
        <v>561</v>
      </c>
      <c r="B4878" s="223">
        <v>21</v>
      </c>
      <c r="C4878" s="223">
        <v>31</v>
      </c>
      <c r="D4878" s="223">
        <v>5</v>
      </c>
      <c r="E4878" s="223">
        <v>500</v>
      </c>
    </row>
    <row r="4879" spans="1:5" ht="15">
      <c r="A4879" s="223" t="s">
        <v>561</v>
      </c>
      <c r="B4879" s="223">
        <v>21</v>
      </c>
      <c r="C4879" s="223">
        <v>31</v>
      </c>
      <c r="D4879" s="223">
        <v>7</v>
      </c>
      <c r="E4879" s="223">
        <v>2500</v>
      </c>
    </row>
    <row r="4880" spans="1:5" ht="15">
      <c r="A4880" s="223" t="s">
        <v>561</v>
      </c>
      <c r="B4880" s="223">
        <v>24</v>
      </c>
      <c r="C4880" s="223">
        <v>26</v>
      </c>
      <c r="D4880" s="223">
        <v>2</v>
      </c>
      <c r="E4880" s="223">
        <v>215591</v>
      </c>
    </row>
    <row r="4881" spans="1:5" ht="15">
      <c r="A4881" s="223" t="s">
        <v>561</v>
      </c>
      <c r="B4881" s="223">
        <v>24</v>
      </c>
      <c r="C4881" s="223">
        <v>26</v>
      </c>
      <c r="D4881" s="223">
        <v>4</v>
      </c>
      <c r="E4881" s="223">
        <v>73938</v>
      </c>
    </row>
    <row r="4882" spans="1:5" ht="15">
      <c r="A4882" s="223" t="s">
        <v>561</v>
      </c>
      <c r="B4882" s="223">
        <v>24</v>
      </c>
      <c r="C4882" s="223">
        <v>26</v>
      </c>
      <c r="D4882" s="223">
        <v>5</v>
      </c>
      <c r="E4882" s="223">
        <v>15000</v>
      </c>
    </row>
    <row r="4883" spans="1:5" ht="15">
      <c r="A4883" s="223" t="s">
        <v>561</v>
      </c>
      <c r="B4883" s="223">
        <v>24</v>
      </c>
      <c r="C4883" s="223">
        <v>26</v>
      </c>
      <c r="D4883" s="223">
        <v>8</v>
      </c>
      <c r="E4883" s="223">
        <v>7500</v>
      </c>
    </row>
    <row r="4884" spans="1:5" ht="15">
      <c r="A4884" s="223" t="s">
        <v>561</v>
      </c>
      <c r="B4884" s="223">
        <v>24</v>
      </c>
      <c r="C4884" s="223">
        <v>27</v>
      </c>
      <c r="D4884" s="223">
        <v>2</v>
      </c>
      <c r="E4884" s="223">
        <v>264698</v>
      </c>
    </row>
    <row r="4885" spans="1:5" ht="15">
      <c r="A4885" s="223" t="s">
        <v>561</v>
      </c>
      <c r="B4885" s="223">
        <v>24</v>
      </c>
      <c r="C4885" s="223">
        <v>27</v>
      </c>
      <c r="D4885" s="223">
        <v>3</v>
      </c>
      <c r="E4885" s="223">
        <v>173830</v>
      </c>
    </row>
    <row r="4886" spans="1:5" ht="15">
      <c r="A4886" s="223" t="s">
        <v>561</v>
      </c>
      <c r="B4886" s="223">
        <v>24</v>
      </c>
      <c r="C4886" s="223">
        <v>27</v>
      </c>
      <c r="D4886" s="223">
        <v>4</v>
      </c>
      <c r="E4886" s="223">
        <v>198121</v>
      </c>
    </row>
    <row r="4887" spans="1:5" ht="15">
      <c r="A4887" s="223" t="s">
        <v>561</v>
      </c>
      <c r="B4887" s="223">
        <v>24</v>
      </c>
      <c r="C4887" s="223">
        <v>27</v>
      </c>
      <c r="D4887" s="223">
        <v>5</v>
      </c>
      <c r="E4887" s="223">
        <v>21590</v>
      </c>
    </row>
    <row r="4888" spans="1:5" ht="15">
      <c r="A4888" s="223" t="s">
        <v>561</v>
      </c>
      <c r="B4888" s="223">
        <v>24</v>
      </c>
      <c r="C4888" s="223">
        <v>27</v>
      </c>
      <c r="D4888" s="223">
        <v>7</v>
      </c>
      <c r="E4888" s="223">
        <v>10000</v>
      </c>
    </row>
    <row r="4889" spans="1:5" ht="15">
      <c r="A4889" s="223" t="s">
        <v>561</v>
      </c>
      <c r="B4889" s="223">
        <v>24</v>
      </c>
      <c r="C4889" s="223">
        <v>27</v>
      </c>
      <c r="D4889" s="223">
        <v>8</v>
      </c>
      <c r="E4889" s="223">
        <v>3000</v>
      </c>
    </row>
    <row r="4890" spans="1:5" ht="15">
      <c r="A4890" s="223" t="s">
        <v>561</v>
      </c>
      <c r="B4890" s="223">
        <v>24</v>
      </c>
      <c r="C4890" s="223">
        <v>31</v>
      </c>
      <c r="D4890" s="223">
        <v>7</v>
      </c>
      <c r="E4890" s="223">
        <v>7000</v>
      </c>
    </row>
    <row r="4891" spans="1:5" ht="15">
      <c r="A4891" s="223" t="s">
        <v>561</v>
      </c>
      <c r="B4891" s="223">
        <v>24</v>
      </c>
      <c r="C4891" s="223">
        <v>31</v>
      </c>
      <c r="D4891" s="223">
        <v>8</v>
      </c>
      <c r="E4891" s="223">
        <v>2000</v>
      </c>
    </row>
    <row r="4892" spans="1:5" ht="15">
      <c r="A4892" s="223" t="s">
        <v>561</v>
      </c>
      <c r="B4892" s="223">
        <v>24</v>
      </c>
      <c r="C4892" s="223">
        <v>32</v>
      </c>
      <c r="D4892" s="223">
        <v>5</v>
      </c>
      <c r="E4892" s="223">
        <v>3500</v>
      </c>
    </row>
    <row r="4893" spans="1:5" ht="15">
      <c r="A4893" s="223" t="s">
        <v>563</v>
      </c>
      <c r="B4893" s="223">
        <v>21</v>
      </c>
      <c r="C4893" s="223">
        <v>21</v>
      </c>
      <c r="D4893" s="223">
        <v>2</v>
      </c>
      <c r="E4893" s="223">
        <v>186824</v>
      </c>
    </row>
    <row r="4894" spans="1:5" ht="15">
      <c r="A4894" s="223" t="s">
        <v>563</v>
      </c>
      <c r="B4894" s="223">
        <v>21</v>
      </c>
      <c r="C4894" s="223">
        <v>21</v>
      </c>
      <c r="D4894" s="223">
        <v>3</v>
      </c>
      <c r="E4894" s="223">
        <v>262602</v>
      </c>
    </row>
    <row r="4895" spans="1:5" ht="15">
      <c r="A4895" s="223" t="s">
        <v>563</v>
      </c>
      <c r="B4895" s="223">
        <v>21</v>
      </c>
      <c r="C4895" s="223">
        <v>21</v>
      </c>
      <c r="D4895" s="223">
        <v>4</v>
      </c>
      <c r="E4895" s="223">
        <v>152311</v>
      </c>
    </row>
    <row r="4896" spans="1:5" ht="15">
      <c r="A4896" s="223" t="s">
        <v>563</v>
      </c>
      <c r="B4896" s="223">
        <v>21</v>
      </c>
      <c r="C4896" s="223">
        <v>25</v>
      </c>
      <c r="D4896" s="223">
        <v>3</v>
      </c>
      <c r="E4896" s="223">
        <v>187640</v>
      </c>
    </row>
    <row r="4897" spans="1:5" ht="15">
      <c r="A4897" s="223" t="s">
        <v>563</v>
      </c>
      <c r="B4897" s="223">
        <v>21</v>
      </c>
      <c r="C4897" s="223">
        <v>25</v>
      </c>
      <c r="D4897" s="223">
        <v>4</v>
      </c>
      <c r="E4897" s="223">
        <v>145608</v>
      </c>
    </row>
    <row r="4898" spans="1:5" ht="15">
      <c r="A4898" s="223" t="s">
        <v>563</v>
      </c>
      <c r="B4898" s="223">
        <v>21</v>
      </c>
      <c r="C4898" s="223">
        <v>26</v>
      </c>
      <c r="D4898" s="223">
        <v>2</v>
      </c>
      <c r="E4898" s="223">
        <v>3878037</v>
      </c>
    </row>
    <row r="4899" spans="1:5" ht="15">
      <c r="A4899" s="223" t="s">
        <v>563</v>
      </c>
      <c r="B4899" s="223">
        <v>21</v>
      </c>
      <c r="C4899" s="223">
        <v>26</v>
      </c>
      <c r="D4899" s="223">
        <v>3</v>
      </c>
      <c r="E4899" s="223">
        <v>50101</v>
      </c>
    </row>
    <row r="4900" spans="1:5" ht="15">
      <c r="A4900" s="223" t="s">
        <v>563</v>
      </c>
      <c r="B4900" s="223">
        <v>21</v>
      </c>
      <c r="C4900" s="223">
        <v>26</v>
      </c>
      <c r="D4900" s="223">
        <v>4</v>
      </c>
      <c r="E4900" s="223">
        <v>1418941</v>
      </c>
    </row>
    <row r="4901" spans="1:5" ht="15">
      <c r="A4901" s="223" t="s">
        <v>563</v>
      </c>
      <c r="B4901" s="223">
        <v>21</v>
      </c>
      <c r="C4901" s="223">
        <v>26</v>
      </c>
      <c r="D4901" s="223">
        <v>5</v>
      </c>
      <c r="E4901" s="223">
        <v>70000</v>
      </c>
    </row>
    <row r="4902" spans="1:5" ht="15">
      <c r="A4902" s="223" t="s">
        <v>563</v>
      </c>
      <c r="B4902" s="223">
        <v>21</v>
      </c>
      <c r="C4902" s="223">
        <v>26</v>
      </c>
      <c r="D4902" s="223">
        <v>7</v>
      </c>
      <c r="E4902" s="223">
        <v>375000</v>
      </c>
    </row>
    <row r="4903" spans="1:5" ht="15">
      <c r="A4903" s="223" t="s">
        <v>563</v>
      </c>
      <c r="B4903" s="223">
        <v>21</v>
      </c>
      <c r="C4903" s="223">
        <v>27</v>
      </c>
      <c r="D4903" s="223">
        <v>0</v>
      </c>
      <c r="E4903" s="223">
        <v>38174</v>
      </c>
    </row>
    <row r="4904" spans="1:5" ht="15">
      <c r="A4904" s="223" t="s">
        <v>563</v>
      </c>
      <c r="B4904" s="223">
        <v>21</v>
      </c>
      <c r="C4904" s="223">
        <v>27</v>
      </c>
      <c r="D4904" s="223">
        <v>2</v>
      </c>
      <c r="E4904" s="223">
        <v>4963149</v>
      </c>
    </row>
    <row r="4905" spans="1:5" ht="15">
      <c r="A4905" s="223" t="s">
        <v>563</v>
      </c>
      <c r="B4905" s="223">
        <v>21</v>
      </c>
      <c r="C4905" s="223">
        <v>27</v>
      </c>
      <c r="D4905" s="223">
        <v>3</v>
      </c>
      <c r="E4905" s="223">
        <v>4825737</v>
      </c>
    </row>
    <row r="4906" spans="1:5" ht="15">
      <c r="A4906" s="223" t="s">
        <v>563</v>
      </c>
      <c r="B4906" s="223">
        <v>21</v>
      </c>
      <c r="C4906" s="223">
        <v>27</v>
      </c>
      <c r="D4906" s="223">
        <v>4</v>
      </c>
      <c r="E4906" s="223">
        <v>4218057</v>
      </c>
    </row>
    <row r="4907" spans="1:5" ht="15">
      <c r="A4907" s="223" t="s">
        <v>563</v>
      </c>
      <c r="B4907" s="223">
        <v>21</v>
      </c>
      <c r="C4907" s="223">
        <v>27</v>
      </c>
      <c r="D4907" s="223">
        <v>5</v>
      </c>
      <c r="E4907" s="223">
        <v>39078</v>
      </c>
    </row>
    <row r="4908" spans="1:5" ht="15">
      <c r="A4908" s="223" t="s">
        <v>563</v>
      </c>
      <c r="B4908" s="223">
        <v>21</v>
      </c>
      <c r="C4908" s="223">
        <v>27</v>
      </c>
      <c r="D4908" s="223">
        <v>7</v>
      </c>
      <c r="E4908" s="223">
        <v>1297000</v>
      </c>
    </row>
    <row r="4909" spans="1:5" ht="15">
      <c r="A4909" s="223" t="s">
        <v>563</v>
      </c>
      <c r="B4909" s="223">
        <v>21</v>
      </c>
      <c r="C4909" s="223">
        <v>27</v>
      </c>
      <c r="D4909" s="223">
        <v>8</v>
      </c>
      <c r="E4909" s="223">
        <v>4000</v>
      </c>
    </row>
    <row r="4910" spans="1:5" ht="15">
      <c r="A4910" s="223" t="s">
        <v>563</v>
      </c>
      <c r="B4910" s="223">
        <v>21</v>
      </c>
      <c r="C4910" s="223">
        <v>29</v>
      </c>
      <c r="D4910" s="223">
        <v>7</v>
      </c>
      <c r="E4910" s="223">
        <v>510000</v>
      </c>
    </row>
    <row r="4911" spans="1:5" ht="15">
      <c r="A4911" s="223" t="s">
        <v>563</v>
      </c>
      <c r="B4911" s="223">
        <v>21</v>
      </c>
      <c r="C4911" s="223">
        <v>31</v>
      </c>
      <c r="D4911" s="223">
        <v>2</v>
      </c>
      <c r="E4911" s="223">
        <v>772870</v>
      </c>
    </row>
    <row r="4912" spans="1:5" ht="15">
      <c r="A4912" s="223" t="s">
        <v>563</v>
      </c>
      <c r="B4912" s="223">
        <v>21</v>
      </c>
      <c r="C4912" s="223">
        <v>31</v>
      </c>
      <c r="D4912" s="223">
        <v>3</v>
      </c>
      <c r="E4912" s="223">
        <v>1000</v>
      </c>
    </row>
    <row r="4913" spans="1:5" ht="15">
      <c r="A4913" s="223" t="s">
        <v>563</v>
      </c>
      <c r="B4913" s="223">
        <v>21</v>
      </c>
      <c r="C4913" s="223">
        <v>31</v>
      </c>
      <c r="D4913" s="223">
        <v>4</v>
      </c>
      <c r="E4913" s="223">
        <v>233430</v>
      </c>
    </row>
    <row r="4914" spans="1:5" ht="15">
      <c r="A4914" s="223" t="s">
        <v>563</v>
      </c>
      <c r="B4914" s="223">
        <v>21</v>
      </c>
      <c r="C4914" s="223">
        <v>31</v>
      </c>
      <c r="D4914" s="223">
        <v>5</v>
      </c>
      <c r="E4914" s="223">
        <v>10000</v>
      </c>
    </row>
    <row r="4915" spans="1:5" ht="15">
      <c r="A4915" s="223" t="s">
        <v>563</v>
      </c>
      <c r="B4915" s="223">
        <v>21</v>
      </c>
      <c r="C4915" s="223">
        <v>31</v>
      </c>
      <c r="D4915" s="223">
        <v>7</v>
      </c>
      <c r="E4915" s="223">
        <v>10000</v>
      </c>
    </row>
    <row r="4916" spans="1:5" ht="15">
      <c r="A4916" s="223" t="s">
        <v>563</v>
      </c>
      <c r="B4916" s="223">
        <v>21</v>
      </c>
      <c r="C4916" s="223">
        <v>31</v>
      </c>
      <c r="D4916" s="223">
        <v>8</v>
      </c>
      <c r="E4916" s="223">
        <v>2000</v>
      </c>
    </row>
    <row r="4917" spans="1:5" ht="15">
      <c r="A4917" s="223" t="s">
        <v>563</v>
      </c>
      <c r="B4917" s="223">
        <v>24</v>
      </c>
      <c r="C4917" s="223">
        <v>26</v>
      </c>
      <c r="D4917" s="223">
        <v>7</v>
      </c>
      <c r="E4917" s="223">
        <v>81000</v>
      </c>
    </row>
    <row r="4918" spans="1:5" ht="15">
      <c r="A4918" s="223" t="s">
        <v>563</v>
      </c>
      <c r="B4918" s="223">
        <v>24</v>
      </c>
      <c r="C4918" s="223">
        <v>27</v>
      </c>
      <c r="D4918" s="223">
        <v>2</v>
      </c>
      <c r="E4918" s="223">
        <v>1126049</v>
      </c>
    </row>
    <row r="4919" spans="1:5" ht="15">
      <c r="A4919" s="223" t="s">
        <v>563</v>
      </c>
      <c r="B4919" s="223">
        <v>24</v>
      </c>
      <c r="C4919" s="223">
        <v>27</v>
      </c>
      <c r="D4919" s="223">
        <v>3</v>
      </c>
      <c r="E4919" s="223">
        <v>386906</v>
      </c>
    </row>
    <row r="4920" spans="1:5" ht="15">
      <c r="A4920" s="223" t="s">
        <v>563</v>
      </c>
      <c r="B4920" s="223">
        <v>24</v>
      </c>
      <c r="C4920" s="223">
        <v>27</v>
      </c>
      <c r="D4920" s="223">
        <v>4</v>
      </c>
      <c r="E4920" s="223">
        <v>552388</v>
      </c>
    </row>
    <row r="4921" spans="1:5" ht="15">
      <c r="A4921" s="223" t="s">
        <v>563</v>
      </c>
      <c r="B4921" s="223">
        <v>24</v>
      </c>
      <c r="C4921" s="223">
        <v>31</v>
      </c>
      <c r="D4921" s="223">
        <v>5</v>
      </c>
      <c r="E4921" s="223">
        <v>10000</v>
      </c>
    </row>
    <row r="4922" spans="1:5" ht="15">
      <c r="A4922" s="223" t="s">
        <v>563</v>
      </c>
      <c r="B4922" s="223">
        <v>24</v>
      </c>
      <c r="C4922" s="223">
        <v>31</v>
      </c>
      <c r="D4922" s="223">
        <v>7</v>
      </c>
      <c r="E4922" s="223">
        <v>57934</v>
      </c>
    </row>
    <row r="4923" spans="1:5" ht="15">
      <c r="A4923" s="223" t="s">
        <v>563</v>
      </c>
      <c r="B4923" s="223">
        <v>26</v>
      </c>
      <c r="C4923" s="223">
        <v>27</v>
      </c>
      <c r="D4923" s="223">
        <v>5</v>
      </c>
      <c r="E4923" s="223">
        <v>1</v>
      </c>
    </row>
    <row r="4924" spans="1:5" ht="15">
      <c r="A4924" s="223" t="s">
        <v>565</v>
      </c>
      <c r="B4924" s="223">
        <v>21</v>
      </c>
      <c r="C4924" s="223">
        <v>29</v>
      </c>
      <c r="D4924" s="223">
        <v>7</v>
      </c>
      <c r="E4924" s="223">
        <v>87738</v>
      </c>
    </row>
    <row r="4925" spans="1:5" ht="15">
      <c r="A4925" s="223" t="s">
        <v>77</v>
      </c>
      <c r="B4925" s="223">
        <v>21</v>
      </c>
      <c r="C4925" s="223">
        <v>26</v>
      </c>
      <c r="D4925" s="223">
        <v>7</v>
      </c>
      <c r="E4925" s="223">
        <v>11000</v>
      </c>
    </row>
    <row r="4926" spans="1:5" ht="15">
      <c r="A4926" s="223" t="s">
        <v>77</v>
      </c>
      <c r="B4926" s="223">
        <v>21</v>
      </c>
      <c r="C4926" s="223">
        <v>26</v>
      </c>
      <c r="D4926" s="223">
        <v>8</v>
      </c>
      <c r="E4926" s="223">
        <v>2374</v>
      </c>
    </row>
    <row r="4927" spans="1:5" ht="15">
      <c r="A4927" s="223" t="s">
        <v>77</v>
      </c>
      <c r="B4927" s="223">
        <v>21</v>
      </c>
      <c r="C4927" s="223">
        <v>27</v>
      </c>
      <c r="D4927" s="223">
        <v>2</v>
      </c>
      <c r="E4927" s="223">
        <v>124362</v>
      </c>
    </row>
    <row r="4928" spans="1:5" ht="15">
      <c r="A4928" s="223" t="s">
        <v>77</v>
      </c>
      <c r="B4928" s="223">
        <v>21</v>
      </c>
      <c r="C4928" s="223">
        <v>27</v>
      </c>
      <c r="D4928" s="223">
        <v>3</v>
      </c>
      <c r="E4928" s="223">
        <v>8089</v>
      </c>
    </row>
    <row r="4929" spans="1:5" ht="15">
      <c r="A4929" s="223" t="s">
        <v>77</v>
      </c>
      <c r="B4929" s="223">
        <v>21</v>
      </c>
      <c r="C4929" s="223">
        <v>27</v>
      </c>
      <c r="D4929" s="223">
        <v>4</v>
      </c>
      <c r="E4929" s="223">
        <v>49925</v>
      </c>
    </row>
    <row r="4930" spans="1:5" ht="15">
      <c r="A4930" s="223" t="s">
        <v>77</v>
      </c>
      <c r="B4930" s="223">
        <v>21</v>
      </c>
      <c r="C4930" s="223">
        <v>27</v>
      </c>
      <c r="D4930" s="223">
        <v>5</v>
      </c>
      <c r="E4930" s="223">
        <v>1000</v>
      </c>
    </row>
    <row r="4931" spans="1:5" ht="15">
      <c r="A4931" s="223" t="s">
        <v>77</v>
      </c>
      <c r="B4931" s="223">
        <v>21</v>
      </c>
      <c r="C4931" s="223">
        <v>27</v>
      </c>
      <c r="D4931" s="223">
        <v>7</v>
      </c>
      <c r="E4931" s="223">
        <v>2000</v>
      </c>
    </row>
    <row r="4932" spans="1:5" ht="15">
      <c r="A4932" s="223" t="s">
        <v>77</v>
      </c>
      <c r="B4932" s="223">
        <v>21</v>
      </c>
      <c r="C4932" s="223">
        <v>27</v>
      </c>
      <c r="D4932" s="223">
        <v>8</v>
      </c>
      <c r="E4932" s="223">
        <v>500</v>
      </c>
    </row>
    <row r="4933" spans="1:5" ht="15">
      <c r="A4933" s="223" t="s">
        <v>77</v>
      </c>
      <c r="B4933" s="223">
        <v>24</v>
      </c>
      <c r="C4933" s="223">
        <v>26</v>
      </c>
      <c r="D4933" s="223">
        <v>7</v>
      </c>
      <c r="E4933" s="223">
        <v>29000</v>
      </c>
    </row>
    <row r="4934" spans="1:5" ht="15">
      <c r="A4934" s="223" t="s">
        <v>79</v>
      </c>
      <c r="B4934" s="223">
        <v>21</v>
      </c>
      <c r="C4934" s="223">
        <v>21</v>
      </c>
      <c r="D4934" s="223">
        <v>2</v>
      </c>
      <c r="E4934" s="223">
        <v>930039</v>
      </c>
    </row>
    <row r="4935" spans="1:5" ht="15">
      <c r="A4935" s="223" t="s">
        <v>79</v>
      </c>
      <c r="B4935" s="223">
        <v>21</v>
      </c>
      <c r="C4935" s="223">
        <v>21</v>
      </c>
      <c r="D4935" s="223">
        <v>3</v>
      </c>
      <c r="E4935" s="223">
        <v>153103</v>
      </c>
    </row>
    <row r="4936" spans="1:5" ht="15">
      <c r="A4936" s="223" t="s">
        <v>79</v>
      </c>
      <c r="B4936" s="223">
        <v>21</v>
      </c>
      <c r="C4936" s="223">
        <v>21</v>
      </c>
      <c r="D4936" s="223">
        <v>4</v>
      </c>
      <c r="E4936" s="223">
        <v>349491</v>
      </c>
    </row>
    <row r="4937" spans="1:5" ht="15">
      <c r="A4937" s="223" t="s">
        <v>79</v>
      </c>
      <c r="B4937" s="223">
        <v>21</v>
      </c>
      <c r="C4937" s="223">
        <v>21</v>
      </c>
      <c r="D4937" s="223">
        <v>5</v>
      </c>
      <c r="E4937" s="223">
        <v>7100</v>
      </c>
    </row>
    <row r="4938" spans="1:5" ht="15">
      <c r="A4938" s="223" t="s">
        <v>79</v>
      </c>
      <c r="B4938" s="223">
        <v>21</v>
      </c>
      <c r="C4938" s="223">
        <v>21</v>
      </c>
      <c r="D4938" s="223">
        <v>7</v>
      </c>
      <c r="E4938" s="223">
        <v>5000</v>
      </c>
    </row>
    <row r="4939" spans="1:5" ht="15">
      <c r="A4939" s="223" t="s">
        <v>79</v>
      </c>
      <c r="B4939" s="223">
        <v>21</v>
      </c>
      <c r="C4939" s="223">
        <v>21</v>
      </c>
      <c r="D4939" s="223">
        <v>8</v>
      </c>
      <c r="E4939" s="223">
        <v>2600</v>
      </c>
    </row>
    <row r="4940" spans="1:5" ht="15">
      <c r="A4940" s="223" t="s">
        <v>79</v>
      </c>
      <c r="B4940" s="223">
        <v>21</v>
      </c>
      <c r="C4940" s="223">
        <v>26</v>
      </c>
      <c r="D4940" s="223">
        <v>0</v>
      </c>
      <c r="E4940" s="223">
        <v>1000</v>
      </c>
    </row>
    <row r="4941" spans="1:5" ht="15">
      <c r="A4941" s="223" t="s">
        <v>79</v>
      </c>
      <c r="B4941" s="223">
        <v>21</v>
      </c>
      <c r="C4941" s="223">
        <v>26</v>
      </c>
      <c r="D4941" s="223">
        <v>2</v>
      </c>
      <c r="E4941" s="223">
        <v>4003388</v>
      </c>
    </row>
    <row r="4942" spans="1:5" ht="15">
      <c r="A4942" s="223" t="s">
        <v>79</v>
      </c>
      <c r="B4942" s="223">
        <v>21</v>
      </c>
      <c r="C4942" s="223">
        <v>26</v>
      </c>
      <c r="D4942" s="223">
        <v>3</v>
      </c>
      <c r="E4942" s="223">
        <v>233034</v>
      </c>
    </row>
    <row r="4943" spans="1:5" ht="15">
      <c r="A4943" s="223" t="s">
        <v>79</v>
      </c>
      <c r="B4943" s="223">
        <v>21</v>
      </c>
      <c r="C4943" s="223">
        <v>26</v>
      </c>
      <c r="D4943" s="223">
        <v>4</v>
      </c>
      <c r="E4943" s="223">
        <v>1515406</v>
      </c>
    </row>
    <row r="4944" spans="1:5" ht="15">
      <c r="A4944" s="223" t="s">
        <v>79</v>
      </c>
      <c r="B4944" s="223">
        <v>21</v>
      </c>
      <c r="C4944" s="223">
        <v>26</v>
      </c>
      <c r="D4944" s="223">
        <v>5</v>
      </c>
      <c r="E4944" s="223">
        <v>59500</v>
      </c>
    </row>
    <row r="4945" spans="1:5" ht="15">
      <c r="A4945" s="223" t="s">
        <v>79</v>
      </c>
      <c r="B4945" s="223">
        <v>21</v>
      </c>
      <c r="C4945" s="223">
        <v>26</v>
      </c>
      <c r="D4945" s="223">
        <v>7</v>
      </c>
      <c r="E4945" s="223">
        <v>55200</v>
      </c>
    </row>
    <row r="4946" spans="1:5" ht="15">
      <c r="A4946" s="223" t="s">
        <v>79</v>
      </c>
      <c r="B4946" s="223">
        <v>21</v>
      </c>
      <c r="C4946" s="223">
        <v>26</v>
      </c>
      <c r="D4946" s="223">
        <v>8</v>
      </c>
      <c r="E4946" s="223">
        <v>4500</v>
      </c>
    </row>
    <row r="4947" spans="1:5" ht="15">
      <c r="A4947" s="223" t="s">
        <v>79</v>
      </c>
      <c r="B4947" s="223">
        <v>21</v>
      </c>
      <c r="C4947" s="223">
        <v>27</v>
      </c>
      <c r="D4947" s="223">
        <v>0</v>
      </c>
      <c r="E4947" s="223">
        <v>20100</v>
      </c>
    </row>
    <row r="4948" spans="1:5" ht="15">
      <c r="A4948" s="223" t="s">
        <v>79</v>
      </c>
      <c r="B4948" s="223">
        <v>21</v>
      </c>
      <c r="C4948" s="223">
        <v>27</v>
      </c>
      <c r="D4948" s="223">
        <v>2</v>
      </c>
      <c r="E4948" s="223">
        <v>5776045</v>
      </c>
    </row>
    <row r="4949" spans="1:5" ht="15">
      <c r="A4949" s="223" t="s">
        <v>79</v>
      </c>
      <c r="B4949" s="223">
        <v>21</v>
      </c>
      <c r="C4949" s="223">
        <v>27</v>
      </c>
      <c r="D4949" s="223">
        <v>3</v>
      </c>
      <c r="E4949" s="223">
        <v>4871100</v>
      </c>
    </row>
    <row r="4950" spans="1:5" ht="15">
      <c r="A4950" s="223" t="s">
        <v>79</v>
      </c>
      <c r="B4950" s="223">
        <v>21</v>
      </c>
      <c r="C4950" s="223">
        <v>27</v>
      </c>
      <c r="D4950" s="223">
        <v>4</v>
      </c>
      <c r="E4950" s="223">
        <v>4716635</v>
      </c>
    </row>
    <row r="4951" spans="1:5" ht="15">
      <c r="A4951" s="223" t="s">
        <v>79</v>
      </c>
      <c r="B4951" s="223">
        <v>21</v>
      </c>
      <c r="C4951" s="223">
        <v>27</v>
      </c>
      <c r="D4951" s="223">
        <v>5</v>
      </c>
      <c r="E4951" s="223">
        <v>57295</v>
      </c>
    </row>
    <row r="4952" spans="1:5" ht="15">
      <c r="A4952" s="223" t="s">
        <v>79</v>
      </c>
      <c r="B4952" s="223">
        <v>21</v>
      </c>
      <c r="C4952" s="223">
        <v>27</v>
      </c>
      <c r="D4952" s="223">
        <v>7</v>
      </c>
      <c r="E4952" s="223">
        <v>926730</v>
      </c>
    </row>
    <row r="4953" spans="1:5" ht="15">
      <c r="A4953" s="223" t="s">
        <v>79</v>
      </c>
      <c r="B4953" s="223">
        <v>21</v>
      </c>
      <c r="C4953" s="223">
        <v>27</v>
      </c>
      <c r="D4953" s="223">
        <v>8</v>
      </c>
      <c r="E4953" s="223">
        <v>2200</v>
      </c>
    </row>
    <row r="4954" spans="1:5" ht="15">
      <c r="A4954" s="223" t="s">
        <v>79</v>
      </c>
      <c r="B4954" s="223">
        <v>21</v>
      </c>
      <c r="C4954" s="223">
        <v>29</v>
      </c>
      <c r="D4954" s="223">
        <v>7</v>
      </c>
      <c r="E4954" s="223">
        <v>350000</v>
      </c>
    </row>
    <row r="4955" spans="1:5" ht="15">
      <c r="A4955" s="223" t="s">
        <v>79</v>
      </c>
      <c r="B4955" s="223">
        <v>21</v>
      </c>
      <c r="C4955" s="223">
        <v>31</v>
      </c>
      <c r="D4955" s="223">
        <v>2</v>
      </c>
      <c r="E4955" s="223">
        <v>10489</v>
      </c>
    </row>
    <row r="4956" spans="1:5" ht="15">
      <c r="A4956" s="223" t="s">
        <v>79</v>
      </c>
      <c r="B4956" s="223">
        <v>21</v>
      </c>
      <c r="C4956" s="223">
        <v>31</v>
      </c>
      <c r="D4956" s="223">
        <v>3</v>
      </c>
      <c r="E4956" s="223">
        <v>1390</v>
      </c>
    </row>
    <row r="4957" spans="1:5" ht="15">
      <c r="A4957" s="223" t="s">
        <v>79</v>
      </c>
      <c r="B4957" s="223">
        <v>21</v>
      </c>
      <c r="C4957" s="223">
        <v>31</v>
      </c>
      <c r="D4957" s="223">
        <v>4</v>
      </c>
      <c r="E4957" s="223">
        <v>2227</v>
      </c>
    </row>
    <row r="4958" spans="1:5" ht="15">
      <c r="A4958" s="223" t="s">
        <v>79</v>
      </c>
      <c r="B4958" s="223">
        <v>21</v>
      </c>
      <c r="C4958" s="223">
        <v>31</v>
      </c>
      <c r="D4958" s="223">
        <v>5</v>
      </c>
      <c r="E4958" s="223">
        <v>1500</v>
      </c>
    </row>
    <row r="4959" spans="1:5" ht="15">
      <c r="A4959" s="223" t="s">
        <v>79</v>
      </c>
      <c r="B4959" s="223">
        <v>21</v>
      </c>
      <c r="C4959" s="223">
        <v>31</v>
      </c>
      <c r="D4959" s="223">
        <v>7</v>
      </c>
      <c r="E4959" s="223">
        <v>15000</v>
      </c>
    </row>
    <row r="4960" spans="1:5" ht="15">
      <c r="A4960" s="223" t="s">
        <v>79</v>
      </c>
      <c r="B4960" s="223">
        <v>21</v>
      </c>
      <c r="C4960" s="223">
        <v>33</v>
      </c>
      <c r="D4960" s="223">
        <v>5</v>
      </c>
      <c r="E4960" s="223">
        <v>20000</v>
      </c>
    </row>
    <row r="4961" spans="1:5" ht="15">
      <c r="A4961" s="223" t="s">
        <v>79</v>
      </c>
      <c r="B4961" s="223">
        <v>21</v>
      </c>
      <c r="C4961" s="223">
        <v>34</v>
      </c>
      <c r="D4961" s="223">
        <v>2</v>
      </c>
      <c r="E4961" s="223">
        <v>135810</v>
      </c>
    </row>
    <row r="4962" spans="1:5" ht="15">
      <c r="A4962" s="223" t="s">
        <v>79</v>
      </c>
      <c r="B4962" s="223">
        <v>21</v>
      </c>
      <c r="C4962" s="223">
        <v>34</v>
      </c>
      <c r="D4962" s="223">
        <v>4</v>
      </c>
      <c r="E4962" s="223">
        <v>31950</v>
      </c>
    </row>
    <row r="4963" spans="1:5" ht="15">
      <c r="A4963" s="223" t="s">
        <v>79</v>
      </c>
      <c r="B4963" s="223">
        <v>23</v>
      </c>
      <c r="C4963" s="223">
        <v>27</v>
      </c>
      <c r="D4963" s="223">
        <v>7</v>
      </c>
      <c r="E4963" s="223">
        <v>256399</v>
      </c>
    </row>
    <row r="4964" spans="1:5" ht="15">
      <c r="A4964" s="223" t="s">
        <v>79</v>
      </c>
      <c r="B4964" s="223">
        <v>24</v>
      </c>
      <c r="C4964" s="223">
        <v>26</v>
      </c>
      <c r="D4964" s="223">
        <v>3</v>
      </c>
      <c r="E4964" s="223">
        <v>84106</v>
      </c>
    </row>
    <row r="4965" spans="1:5" ht="15">
      <c r="A4965" s="223" t="s">
        <v>79</v>
      </c>
      <c r="B4965" s="223">
        <v>24</v>
      </c>
      <c r="C4965" s="223">
        <v>26</v>
      </c>
      <c r="D4965" s="223">
        <v>4</v>
      </c>
      <c r="E4965" s="223">
        <v>41971</v>
      </c>
    </row>
    <row r="4966" spans="1:5" ht="15">
      <c r="A4966" s="223" t="s">
        <v>79</v>
      </c>
      <c r="B4966" s="223">
        <v>24</v>
      </c>
      <c r="C4966" s="223">
        <v>27</v>
      </c>
      <c r="D4966" s="223">
        <v>2</v>
      </c>
      <c r="E4966" s="223">
        <v>729154</v>
      </c>
    </row>
    <row r="4967" spans="1:5" ht="15">
      <c r="A4967" s="223" t="s">
        <v>79</v>
      </c>
      <c r="B4967" s="223">
        <v>24</v>
      </c>
      <c r="C4967" s="223">
        <v>27</v>
      </c>
      <c r="D4967" s="223">
        <v>3</v>
      </c>
      <c r="E4967" s="223">
        <v>380108</v>
      </c>
    </row>
    <row r="4968" spans="1:5" ht="15">
      <c r="A4968" s="223" t="s">
        <v>79</v>
      </c>
      <c r="B4968" s="223">
        <v>24</v>
      </c>
      <c r="C4968" s="223">
        <v>27</v>
      </c>
      <c r="D4968" s="223">
        <v>4</v>
      </c>
      <c r="E4968" s="223">
        <v>468163</v>
      </c>
    </row>
    <row r="4969" spans="1:5" ht="15">
      <c r="A4969" s="223" t="s">
        <v>79</v>
      </c>
      <c r="B4969" s="223">
        <v>24</v>
      </c>
      <c r="C4969" s="223">
        <v>27</v>
      </c>
      <c r="D4969" s="223">
        <v>7</v>
      </c>
      <c r="E4969" s="223">
        <v>200000</v>
      </c>
    </row>
    <row r="4970" spans="1:5" ht="15">
      <c r="A4970" s="223" t="s">
        <v>81</v>
      </c>
      <c r="B4970" s="223">
        <v>21</v>
      </c>
      <c r="C4970" s="223">
        <v>21</v>
      </c>
      <c r="D4970" s="223">
        <v>2</v>
      </c>
      <c r="E4970" s="223">
        <v>244714</v>
      </c>
    </row>
    <row r="4971" spans="1:5" ht="15">
      <c r="A4971" s="223" t="s">
        <v>81</v>
      </c>
      <c r="B4971" s="223">
        <v>21</v>
      </c>
      <c r="C4971" s="223">
        <v>21</v>
      </c>
      <c r="D4971" s="223">
        <v>3</v>
      </c>
      <c r="E4971" s="223">
        <v>97799</v>
      </c>
    </row>
    <row r="4972" spans="1:5" ht="15">
      <c r="A4972" s="223" t="s">
        <v>81</v>
      </c>
      <c r="B4972" s="223">
        <v>21</v>
      </c>
      <c r="C4972" s="223">
        <v>21</v>
      </c>
      <c r="D4972" s="223">
        <v>4</v>
      </c>
      <c r="E4972" s="223">
        <v>115413</v>
      </c>
    </row>
    <row r="4973" spans="1:5" ht="15">
      <c r="A4973" s="223" t="s">
        <v>81</v>
      </c>
      <c r="B4973" s="223">
        <v>21</v>
      </c>
      <c r="C4973" s="223">
        <v>23</v>
      </c>
      <c r="D4973" s="223">
        <v>2</v>
      </c>
      <c r="E4973" s="223">
        <v>58771</v>
      </c>
    </row>
    <row r="4974" spans="1:5" ht="15">
      <c r="A4974" s="223" t="s">
        <v>81</v>
      </c>
      <c r="B4974" s="223">
        <v>21</v>
      </c>
      <c r="C4974" s="223">
        <v>23</v>
      </c>
      <c r="D4974" s="223">
        <v>4</v>
      </c>
      <c r="E4974" s="223">
        <v>18090</v>
      </c>
    </row>
    <row r="4975" spans="1:5" ht="15">
      <c r="A4975" s="223" t="s">
        <v>81</v>
      </c>
      <c r="B4975" s="223">
        <v>21</v>
      </c>
      <c r="C4975" s="223">
        <v>26</v>
      </c>
      <c r="D4975" s="223">
        <v>2</v>
      </c>
      <c r="E4975" s="223">
        <v>2266824</v>
      </c>
    </row>
    <row r="4976" spans="1:5" ht="15">
      <c r="A4976" s="223" t="s">
        <v>81</v>
      </c>
      <c r="B4976" s="223">
        <v>21</v>
      </c>
      <c r="C4976" s="223">
        <v>26</v>
      </c>
      <c r="D4976" s="223">
        <v>3</v>
      </c>
      <c r="E4976" s="223">
        <v>191992</v>
      </c>
    </row>
    <row r="4977" spans="1:5" ht="15">
      <c r="A4977" s="223" t="s">
        <v>81</v>
      </c>
      <c r="B4977" s="223">
        <v>21</v>
      </c>
      <c r="C4977" s="223">
        <v>26</v>
      </c>
      <c r="D4977" s="223">
        <v>4</v>
      </c>
      <c r="E4977" s="223">
        <v>874309</v>
      </c>
    </row>
    <row r="4978" spans="1:5" ht="15">
      <c r="A4978" s="223" t="s">
        <v>81</v>
      </c>
      <c r="B4978" s="223">
        <v>21</v>
      </c>
      <c r="C4978" s="223">
        <v>26</v>
      </c>
      <c r="D4978" s="223">
        <v>7</v>
      </c>
      <c r="E4978" s="223">
        <v>10000</v>
      </c>
    </row>
    <row r="4979" spans="1:5" ht="15">
      <c r="A4979" s="223" t="s">
        <v>81</v>
      </c>
      <c r="B4979" s="223">
        <v>21</v>
      </c>
      <c r="C4979" s="223">
        <v>27</v>
      </c>
      <c r="D4979" s="223">
        <v>0</v>
      </c>
      <c r="E4979" s="223">
        <v>2500</v>
      </c>
    </row>
    <row r="4980" spans="1:5" ht="15">
      <c r="A4980" s="223" t="s">
        <v>81</v>
      </c>
      <c r="B4980" s="223">
        <v>21</v>
      </c>
      <c r="C4980" s="223">
        <v>27</v>
      </c>
      <c r="D4980" s="223">
        <v>2</v>
      </c>
      <c r="E4980" s="223">
        <v>3949030</v>
      </c>
    </row>
    <row r="4981" spans="1:5" ht="15">
      <c r="A4981" s="223" t="s">
        <v>81</v>
      </c>
      <c r="B4981" s="223">
        <v>21</v>
      </c>
      <c r="C4981" s="223">
        <v>27</v>
      </c>
      <c r="D4981" s="223">
        <v>3</v>
      </c>
      <c r="E4981" s="223">
        <v>1536250</v>
      </c>
    </row>
    <row r="4982" spans="1:5" ht="15">
      <c r="A4982" s="223" t="s">
        <v>81</v>
      </c>
      <c r="B4982" s="223">
        <v>21</v>
      </c>
      <c r="C4982" s="223">
        <v>27</v>
      </c>
      <c r="D4982" s="223">
        <v>4</v>
      </c>
      <c r="E4982" s="223">
        <v>2328228</v>
      </c>
    </row>
    <row r="4983" spans="1:5" ht="15">
      <c r="A4983" s="223" t="s">
        <v>81</v>
      </c>
      <c r="B4983" s="223">
        <v>21</v>
      </c>
      <c r="C4983" s="223">
        <v>27</v>
      </c>
      <c r="D4983" s="223">
        <v>5</v>
      </c>
      <c r="E4983" s="223">
        <v>1000</v>
      </c>
    </row>
    <row r="4984" spans="1:5" ht="15">
      <c r="A4984" s="223" t="s">
        <v>81</v>
      </c>
      <c r="B4984" s="223">
        <v>21</v>
      </c>
      <c r="C4984" s="223">
        <v>27</v>
      </c>
      <c r="D4984" s="223">
        <v>7</v>
      </c>
      <c r="E4984" s="223">
        <v>889083</v>
      </c>
    </row>
    <row r="4985" spans="1:5" ht="15">
      <c r="A4985" s="223" t="s">
        <v>81</v>
      </c>
      <c r="B4985" s="223">
        <v>21</v>
      </c>
      <c r="C4985" s="223">
        <v>31</v>
      </c>
      <c r="D4985" s="223">
        <v>2</v>
      </c>
      <c r="E4985" s="223">
        <v>115987</v>
      </c>
    </row>
    <row r="4986" spans="1:5" ht="15">
      <c r="A4986" s="223" t="s">
        <v>81</v>
      </c>
      <c r="B4986" s="223">
        <v>21</v>
      </c>
      <c r="C4986" s="223">
        <v>31</v>
      </c>
      <c r="D4986" s="223">
        <v>3</v>
      </c>
      <c r="E4986" s="223">
        <v>10000</v>
      </c>
    </row>
    <row r="4987" spans="1:5" ht="15">
      <c r="A4987" s="223" t="s">
        <v>81</v>
      </c>
      <c r="B4987" s="223">
        <v>21</v>
      </c>
      <c r="C4987" s="223">
        <v>31</v>
      </c>
      <c r="D4987" s="223">
        <v>4</v>
      </c>
      <c r="E4987" s="223">
        <v>40321</v>
      </c>
    </row>
    <row r="4988" spans="1:5" ht="15">
      <c r="A4988" s="223" t="s">
        <v>81</v>
      </c>
      <c r="B4988" s="223">
        <v>21</v>
      </c>
      <c r="C4988" s="223">
        <v>31</v>
      </c>
      <c r="D4988" s="223">
        <v>7</v>
      </c>
      <c r="E4988" s="223">
        <v>100000</v>
      </c>
    </row>
    <row r="4989" spans="1:5" ht="15">
      <c r="A4989" s="223" t="s">
        <v>81</v>
      </c>
      <c r="B4989" s="223">
        <v>21</v>
      </c>
      <c r="C4989" s="223">
        <v>33</v>
      </c>
      <c r="D4989" s="223">
        <v>5</v>
      </c>
      <c r="E4989" s="223">
        <v>5000</v>
      </c>
    </row>
    <row r="4990" spans="1:5" ht="15">
      <c r="A4990" s="223" t="s">
        <v>81</v>
      </c>
      <c r="B4990" s="223">
        <v>21</v>
      </c>
      <c r="C4990" s="223">
        <v>34</v>
      </c>
      <c r="D4990" s="223">
        <v>2</v>
      </c>
      <c r="E4990" s="223">
        <v>118423</v>
      </c>
    </row>
    <row r="4991" spans="1:5" ht="15">
      <c r="A4991" s="223" t="s">
        <v>81</v>
      </c>
      <c r="B4991" s="223">
        <v>21</v>
      </c>
      <c r="C4991" s="223">
        <v>34</v>
      </c>
      <c r="D4991" s="223">
        <v>4</v>
      </c>
      <c r="E4991" s="223">
        <v>26723</v>
      </c>
    </row>
    <row r="4992" spans="1:5" ht="15">
      <c r="A4992" s="223" t="s">
        <v>81</v>
      </c>
      <c r="B4992" s="223">
        <v>24</v>
      </c>
      <c r="C4992" s="223">
        <v>26</v>
      </c>
      <c r="D4992" s="223">
        <v>5</v>
      </c>
      <c r="E4992" s="223">
        <v>11000</v>
      </c>
    </row>
    <row r="4993" spans="1:5" ht="15">
      <c r="A4993" s="223" t="s">
        <v>81</v>
      </c>
      <c r="B4993" s="223">
        <v>24</v>
      </c>
      <c r="C4993" s="223">
        <v>27</v>
      </c>
      <c r="D4993" s="223">
        <v>2</v>
      </c>
      <c r="E4993" s="223">
        <v>73100</v>
      </c>
    </row>
    <row r="4994" spans="1:5" ht="15">
      <c r="A4994" s="223" t="s">
        <v>81</v>
      </c>
      <c r="B4994" s="223">
        <v>24</v>
      </c>
      <c r="C4994" s="223">
        <v>27</v>
      </c>
      <c r="D4994" s="223">
        <v>3</v>
      </c>
      <c r="E4994" s="223">
        <v>233897</v>
      </c>
    </row>
    <row r="4995" spans="1:5" ht="15">
      <c r="A4995" s="223" t="s">
        <v>81</v>
      </c>
      <c r="B4995" s="223">
        <v>24</v>
      </c>
      <c r="C4995" s="223">
        <v>27</v>
      </c>
      <c r="D4995" s="223">
        <v>4</v>
      </c>
      <c r="E4995" s="223">
        <v>171933</v>
      </c>
    </row>
    <row r="4996" spans="1:5" ht="15">
      <c r="A4996" s="223" t="s">
        <v>81</v>
      </c>
      <c r="B4996" s="223">
        <v>24</v>
      </c>
      <c r="C4996" s="223">
        <v>27</v>
      </c>
      <c r="D4996" s="223">
        <v>5</v>
      </c>
      <c r="E4996" s="223">
        <v>19158</v>
      </c>
    </row>
    <row r="4997" spans="1:5" ht="15">
      <c r="A4997" s="223" t="s">
        <v>81</v>
      </c>
      <c r="B4997" s="223">
        <v>24</v>
      </c>
      <c r="C4997" s="223">
        <v>27</v>
      </c>
      <c r="D4997" s="223">
        <v>7</v>
      </c>
      <c r="E4997" s="223">
        <v>1504180</v>
      </c>
    </row>
    <row r="4998" spans="1:5" ht="15">
      <c r="A4998" s="223" t="s">
        <v>81</v>
      </c>
      <c r="B4998" s="223">
        <v>24</v>
      </c>
      <c r="C4998" s="223">
        <v>31</v>
      </c>
      <c r="D4998" s="223">
        <v>2</v>
      </c>
      <c r="E4998" s="223">
        <v>124745</v>
      </c>
    </row>
    <row r="4999" spans="1:5" ht="15">
      <c r="A4999" s="223" t="s">
        <v>81</v>
      </c>
      <c r="B4999" s="223">
        <v>24</v>
      </c>
      <c r="C4999" s="223">
        <v>31</v>
      </c>
      <c r="D4999" s="223">
        <v>3</v>
      </c>
      <c r="E4999" s="223">
        <v>10000</v>
      </c>
    </row>
    <row r="5000" spans="1:5" ht="15">
      <c r="A5000" s="223" t="s">
        <v>81</v>
      </c>
      <c r="B5000" s="223">
        <v>24</v>
      </c>
      <c r="C5000" s="223">
        <v>31</v>
      </c>
      <c r="D5000" s="223">
        <v>4</v>
      </c>
      <c r="E5000" s="223">
        <v>42235</v>
      </c>
    </row>
    <row r="5001" spans="1:5" ht="15">
      <c r="A5001" s="223" t="s">
        <v>81</v>
      </c>
      <c r="B5001" s="223">
        <v>24</v>
      </c>
      <c r="C5001" s="223">
        <v>31</v>
      </c>
      <c r="D5001" s="223">
        <v>7</v>
      </c>
      <c r="E5001" s="223">
        <v>15000</v>
      </c>
    </row>
    <row r="5002" spans="1:5" ht="15">
      <c r="A5002" s="223" t="s">
        <v>81</v>
      </c>
      <c r="B5002" s="223">
        <v>24</v>
      </c>
      <c r="C5002" s="223">
        <v>33</v>
      </c>
      <c r="D5002" s="223">
        <v>7</v>
      </c>
      <c r="E5002" s="223">
        <v>5737</v>
      </c>
    </row>
    <row r="5003" spans="1:5" ht="15">
      <c r="A5003" s="223" t="s">
        <v>83</v>
      </c>
      <c r="B5003" s="223">
        <v>21</v>
      </c>
      <c r="C5003" s="223">
        <v>21</v>
      </c>
      <c r="D5003" s="223">
        <v>2</v>
      </c>
      <c r="E5003" s="223">
        <v>4500</v>
      </c>
    </row>
    <row r="5004" spans="1:5" ht="15">
      <c r="A5004" s="223" t="s">
        <v>83</v>
      </c>
      <c r="B5004" s="223">
        <v>21</v>
      </c>
      <c r="C5004" s="223">
        <v>21</v>
      </c>
      <c r="D5004" s="223">
        <v>3</v>
      </c>
      <c r="E5004" s="223">
        <v>36748</v>
      </c>
    </row>
    <row r="5005" spans="1:5" ht="15">
      <c r="A5005" s="223" t="s">
        <v>83</v>
      </c>
      <c r="B5005" s="223">
        <v>21</v>
      </c>
      <c r="C5005" s="223">
        <v>21</v>
      </c>
      <c r="D5005" s="223">
        <v>4</v>
      </c>
      <c r="E5005" s="223">
        <v>21219</v>
      </c>
    </row>
    <row r="5006" spans="1:5" ht="15">
      <c r="A5006" s="223" t="s">
        <v>83</v>
      </c>
      <c r="B5006" s="223">
        <v>21</v>
      </c>
      <c r="C5006" s="223">
        <v>21</v>
      </c>
      <c r="D5006" s="223">
        <v>5</v>
      </c>
      <c r="E5006" s="223">
        <v>500</v>
      </c>
    </row>
    <row r="5007" spans="1:5" ht="15">
      <c r="A5007" s="223" t="s">
        <v>83</v>
      </c>
      <c r="B5007" s="223">
        <v>21</v>
      </c>
      <c r="C5007" s="223">
        <v>21</v>
      </c>
      <c r="D5007" s="223">
        <v>7</v>
      </c>
      <c r="E5007" s="223">
        <v>500</v>
      </c>
    </row>
    <row r="5008" spans="1:5" ht="15">
      <c r="A5008" s="223" t="s">
        <v>83</v>
      </c>
      <c r="B5008" s="223">
        <v>21</v>
      </c>
      <c r="C5008" s="223">
        <v>21</v>
      </c>
      <c r="D5008" s="223">
        <v>8</v>
      </c>
      <c r="E5008" s="223">
        <v>500</v>
      </c>
    </row>
    <row r="5009" spans="1:5" ht="15">
      <c r="A5009" s="223" t="s">
        <v>83</v>
      </c>
      <c r="B5009" s="223">
        <v>21</v>
      </c>
      <c r="C5009" s="223">
        <v>26</v>
      </c>
      <c r="D5009" s="223">
        <v>2</v>
      </c>
      <c r="E5009" s="223">
        <v>40989</v>
      </c>
    </row>
    <row r="5010" spans="1:5" ht="15">
      <c r="A5010" s="223" t="s">
        <v>83</v>
      </c>
      <c r="B5010" s="223">
        <v>21</v>
      </c>
      <c r="C5010" s="223">
        <v>26</v>
      </c>
      <c r="D5010" s="223">
        <v>4</v>
      </c>
      <c r="E5010" s="223">
        <v>15881</v>
      </c>
    </row>
    <row r="5011" spans="1:5" ht="15">
      <c r="A5011" s="223" t="s">
        <v>83</v>
      </c>
      <c r="B5011" s="223">
        <v>21</v>
      </c>
      <c r="C5011" s="223">
        <v>26</v>
      </c>
      <c r="D5011" s="223">
        <v>5</v>
      </c>
      <c r="E5011" s="223">
        <v>1000</v>
      </c>
    </row>
    <row r="5012" spans="1:5" ht="15">
      <c r="A5012" s="223" t="s">
        <v>83</v>
      </c>
      <c r="B5012" s="223">
        <v>21</v>
      </c>
      <c r="C5012" s="223">
        <v>26</v>
      </c>
      <c r="D5012" s="223">
        <v>7</v>
      </c>
      <c r="E5012" s="223">
        <v>106786</v>
      </c>
    </row>
    <row r="5013" spans="1:5" ht="15">
      <c r="A5013" s="223" t="s">
        <v>83</v>
      </c>
      <c r="B5013" s="223">
        <v>21</v>
      </c>
      <c r="C5013" s="223">
        <v>27</v>
      </c>
      <c r="D5013" s="223">
        <v>2</v>
      </c>
      <c r="E5013" s="223">
        <v>192356</v>
      </c>
    </row>
    <row r="5014" spans="1:5" ht="15">
      <c r="A5014" s="223" t="s">
        <v>83</v>
      </c>
      <c r="B5014" s="223">
        <v>21</v>
      </c>
      <c r="C5014" s="223">
        <v>27</v>
      </c>
      <c r="D5014" s="223">
        <v>3</v>
      </c>
      <c r="E5014" s="223">
        <v>276369</v>
      </c>
    </row>
    <row r="5015" spans="1:5" ht="15">
      <c r="A5015" s="223" t="s">
        <v>83</v>
      </c>
      <c r="B5015" s="223">
        <v>21</v>
      </c>
      <c r="C5015" s="223">
        <v>27</v>
      </c>
      <c r="D5015" s="223">
        <v>4</v>
      </c>
      <c r="E5015" s="223">
        <v>247965</v>
      </c>
    </row>
    <row r="5016" spans="1:5" ht="15">
      <c r="A5016" s="223" t="s">
        <v>83</v>
      </c>
      <c r="B5016" s="223">
        <v>21</v>
      </c>
      <c r="C5016" s="223">
        <v>27</v>
      </c>
      <c r="D5016" s="223">
        <v>5</v>
      </c>
      <c r="E5016" s="223">
        <v>4912</v>
      </c>
    </row>
    <row r="5017" spans="1:5" ht="15">
      <c r="A5017" s="223" t="s">
        <v>83</v>
      </c>
      <c r="B5017" s="223">
        <v>21</v>
      </c>
      <c r="C5017" s="223">
        <v>27</v>
      </c>
      <c r="D5017" s="223">
        <v>7</v>
      </c>
      <c r="E5017" s="223">
        <v>5069</v>
      </c>
    </row>
    <row r="5018" spans="1:5" ht="15">
      <c r="A5018" s="223" t="s">
        <v>83</v>
      </c>
      <c r="B5018" s="223">
        <v>21</v>
      </c>
      <c r="C5018" s="223">
        <v>31</v>
      </c>
      <c r="D5018" s="223">
        <v>7</v>
      </c>
      <c r="E5018" s="223">
        <v>3000</v>
      </c>
    </row>
    <row r="5019" spans="1:5" ht="15">
      <c r="A5019" s="223" t="s">
        <v>83</v>
      </c>
      <c r="B5019" s="223">
        <v>21</v>
      </c>
      <c r="C5019" s="223">
        <v>34</v>
      </c>
      <c r="D5019" s="223">
        <v>2</v>
      </c>
      <c r="E5019" s="223">
        <v>3306</v>
      </c>
    </row>
    <row r="5020" spans="1:5" ht="15">
      <c r="A5020" s="223" t="s">
        <v>83</v>
      </c>
      <c r="B5020" s="223">
        <v>21</v>
      </c>
      <c r="C5020" s="223">
        <v>34</v>
      </c>
      <c r="D5020" s="223">
        <v>4</v>
      </c>
      <c r="E5020" s="223">
        <v>756</v>
      </c>
    </row>
    <row r="5021" spans="1:5" ht="15">
      <c r="A5021" s="223" t="s">
        <v>83</v>
      </c>
      <c r="B5021" s="223">
        <v>24</v>
      </c>
      <c r="C5021" s="223">
        <v>26</v>
      </c>
      <c r="D5021" s="223">
        <v>7</v>
      </c>
      <c r="E5021" s="223">
        <v>112725</v>
      </c>
    </row>
    <row r="5022" spans="1:5" ht="15">
      <c r="A5022" s="223" t="s">
        <v>85</v>
      </c>
      <c r="B5022" s="223">
        <v>21</v>
      </c>
      <c r="C5022" s="223">
        <v>21</v>
      </c>
      <c r="D5022" s="223">
        <v>2</v>
      </c>
      <c r="E5022" s="223">
        <v>60232</v>
      </c>
    </row>
    <row r="5023" spans="1:5" ht="15">
      <c r="A5023" s="223" t="s">
        <v>85</v>
      </c>
      <c r="B5023" s="223">
        <v>21</v>
      </c>
      <c r="C5023" s="223">
        <v>21</v>
      </c>
      <c r="D5023" s="223">
        <v>3</v>
      </c>
      <c r="E5023" s="223">
        <v>37575</v>
      </c>
    </row>
    <row r="5024" spans="1:5" ht="15">
      <c r="A5024" s="223" t="s">
        <v>85</v>
      </c>
      <c r="B5024" s="223">
        <v>21</v>
      </c>
      <c r="C5024" s="223">
        <v>21</v>
      </c>
      <c r="D5024" s="223">
        <v>4</v>
      </c>
      <c r="E5024" s="223">
        <v>39675</v>
      </c>
    </row>
    <row r="5025" spans="1:5" ht="15">
      <c r="A5025" s="223" t="s">
        <v>85</v>
      </c>
      <c r="B5025" s="223">
        <v>21</v>
      </c>
      <c r="C5025" s="223">
        <v>26</v>
      </c>
      <c r="D5025" s="223">
        <v>5</v>
      </c>
      <c r="E5025" s="223">
        <v>1000</v>
      </c>
    </row>
    <row r="5026" spans="1:5" ht="15">
      <c r="A5026" s="223" t="s">
        <v>85</v>
      </c>
      <c r="B5026" s="223">
        <v>21</v>
      </c>
      <c r="C5026" s="223">
        <v>26</v>
      </c>
      <c r="D5026" s="223">
        <v>7</v>
      </c>
      <c r="E5026" s="223">
        <v>40000</v>
      </c>
    </row>
    <row r="5027" spans="1:5" ht="15">
      <c r="A5027" s="223" t="s">
        <v>85</v>
      </c>
      <c r="B5027" s="223">
        <v>21</v>
      </c>
      <c r="C5027" s="223">
        <v>27</v>
      </c>
      <c r="D5027" s="223">
        <v>2</v>
      </c>
      <c r="E5027" s="223">
        <v>121757</v>
      </c>
    </row>
    <row r="5028" spans="1:5" ht="15">
      <c r="A5028" s="223" t="s">
        <v>85</v>
      </c>
      <c r="B5028" s="223">
        <v>21</v>
      </c>
      <c r="C5028" s="223">
        <v>27</v>
      </c>
      <c r="D5028" s="223">
        <v>3</v>
      </c>
      <c r="E5028" s="223">
        <v>315134</v>
      </c>
    </row>
    <row r="5029" spans="1:5" ht="15">
      <c r="A5029" s="223" t="s">
        <v>85</v>
      </c>
      <c r="B5029" s="223">
        <v>21</v>
      </c>
      <c r="C5029" s="223">
        <v>27</v>
      </c>
      <c r="D5029" s="223">
        <v>4</v>
      </c>
      <c r="E5029" s="223">
        <v>250065</v>
      </c>
    </row>
    <row r="5030" spans="1:5" ht="15">
      <c r="A5030" s="223" t="s">
        <v>85</v>
      </c>
      <c r="B5030" s="223">
        <v>21</v>
      </c>
      <c r="C5030" s="223">
        <v>27</v>
      </c>
      <c r="D5030" s="223">
        <v>5</v>
      </c>
      <c r="E5030" s="223">
        <v>29000</v>
      </c>
    </row>
    <row r="5031" spans="1:5" ht="15">
      <c r="A5031" s="223" t="s">
        <v>85</v>
      </c>
      <c r="B5031" s="223">
        <v>21</v>
      </c>
      <c r="C5031" s="223">
        <v>27</v>
      </c>
      <c r="D5031" s="223">
        <v>7</v>
      </c>
      <c r="E5031" s="223">
        <v>5000</v>
      </c>
    </row>
    <row r="5032" spans="1:5" ht="15">
      <c r="A5032" s="223" t="s">
        <v>85</v>
      </c>
      <c r="B5032" s="223">
        <v>21</v>
      </c>
      <c r="C5032" s="223">
        <v>31</v>
      </c>
      <c r="D5032" s="223">
        <v>4</v>
      </c>
      <c r="E5032" s="223">
        <v>386</v>
      </c>
    </row>
    <row r="5033" spans="1:5" ht="15">
      <c r="A5033" s="223" t="s">
        <v>85</v>
      </c>
      <c r="B5033" s="223">
        <v>21</v>
      </c>
      <c r="C5033" s="223">
        <v>33</v>
      </c>
      <c r="D5033" s="223">
        <v>5</v>
      </c>
      <c r="E5033" s="223">
        <v>1000</v>
      </c>
    </row>
    <row r="5034" spans="1:5" ht="15">
      <c r="A5034" s="223" t="s">
        <v>85</v>
      </c>
      <c r="B5034" s="223">
        <v>21</v>
      </c>
      <c r="C5034" s="223">
        <v>33</v>
      </c>
      <c r="D5034" s="223">
        <v>7</v>
      </c>
      <c r="E5034" s="223">
        <v>250</v>
      </c>
    </row>
    <row r="5035" spans="1:5" ht="15">
      <c r="A5035" s="223" t="s">
        <v>85</v>
      </c>
      <c r="B5035" s="223">
        <v>21</v>
      </c>
      <c r="C5035" s="223">
        <v>34</v>
      </c>
      <c r="D5035" s="223">
        <v>2</v>
      </c>
      <c r="E5035" s="223">
        <v>1675</v>
      </c>
    </row>
    <row r="5036" spans="1:5" ht="15">
      <c r="A5036" s="223" t="s">
        <v>85</v>
      </c>
      <c r="B5036" s="223">
        <v>21</v>
      </c>
      <c r="C5036" s="223">
        <v>34</v>
      </c>
      <c r="D5036" s="223">
        <v>4</v>
      </c>
      <c r="E5036" s="223">
        <v>7</v>
      </c>
    </row>
    <row r="5037" spans="1:5" ht="15">
      <c r="A5037" s="223" t="s">
        <v>85</v>
      </c>
      <c r="B5037" s="223">
        <v>24</v>
      </c>
      <c r="C5037" s="223">
        <v>27</v>
      </c>
      <c r="D5037" s="223">
        <v>2</v>
      </c>
      <c r="E5037" s="223">
        <v>45204</v>
      </c>
    </row>
    <row r="5038" spans="1:5" ht="15">
      <c r="A5038" s="223" t="s">
        <v>85</v>
      </c>
      <c r="B5038" s="223">
        <v>24</v>
      </c>
      <c r="C5038" s="223">
        <v>27</v>
      </c>
      <c r="D5038" s="223">
        <v>3</v>
      </c>
      <c r="E5038" s="223">
        <v>44339</v>
      </c>
    </row>
    <row r="5039" spans="1:5" ht="15">
      <c r="A5039" s="223" t="s">
        <v>85</v>
      </c>
      <c r="B5039" s="223">
        <v>24</v>
      </c>
      <c r="C5039" s="223">
        <v>27</v>
      </c>
      <c r="D5039" s="223">
        <v>4</v>
      </c>
      <c r="E5039" s="223">
        <v>45528</v>
      </c>
    </row>
    <row r="5040" spans="1:5" ht="15">
      <c r="A5040" s="223" t="s">
        <v>85</v>
      </c>
      <c r="B5040" s="223">
        <v>24</v>
      </c>
      <c r="C5040" s="223">
        <v>27</v>
      </c>
      <c r="D5040" s="223">
        <v>5</v>
      </c>
      <c r="E5040" s="223">
        <v>2217</v>
      </c>
    </row>
    <row r="5041" spans="1:5" ht="15">
      <c r="A5041" s="223" t="s">
        <v>567</v>
      </c>
      <c r="B5041" s="223">
        <v>21</v>
      </c>
      <c r="C5041" s="223">
        <v>21</v>
      </c>
      <c r="D5041" s="223">
        <v>2</v>
      </c>
      <c r="E5041" s="223">
        <v>370401</v>
      </c>
    </row>
    <row r="5042" spans="1:5" ht="15">
      <c r="A5042" s="223" t="s">
        <v>567</v>
      </c>
      <c r="B5042" s="223">
        <v>21</v>
      </c>
      <c r="C5042" s="223">
        <v>21</v>
      </c>
      <c r="D5042" s="223">
        <v>3</v>
      </c>
      <c r="E5042" s="223">
        <v>330283</v>
      </c>
    </row>
    <row r="5043" spans="1:5" ht="15">
      <c r="A5043" s="223" t="s">
        <v>567</v>
      </c>
      <c r="B5043" s="223">
        <v>21</v>
      </c>
      <c r="C5043" s="223">
        <v>21</v>
      </c>
      <c r="D5043" s="223">
        <v>4</v>
      </c>
      <c r="E5043" s="223">
        <v>254621</v>
      </c>
    </row>
    <row r="5044" spans="1:5" ht="15">
      <c r="A5044" s="223" t="s">
        <v>567</v>
      </c>
      <c r="B5044" s="223">
        <v>21</v>
      </c>
      <c r="C5044" s="223">
        <v>21</v>
      </c>
      <c r="D5044" s="223">
        <v>5</v>
      </c>
      <c r="E5044" s="223">
        <v>10100</v>
      </c>
    </row>
    <row r="5045" spans="1:5" ht="15">
      <c r="A5045" s="223" t="s">
        <v>567</v>
      </c>
      <c r="B5045" s="223">
        <v>21</v>
      </c>
      <c r="C5045" s="223">
        <v>21</v>
      </c>
      <c r="D5045" s="223">
        <v>7</v>
      </c>
      <c r="E5045" s="223">
        <v>2500</v>
      </c>
    </row>
    <row r="5046" spans="1:5" ht="15">
      <c r="A5046" s="223" t="s">
        <v>567</v>
      </c>
      <c r="B5046" s="223">
        <v>21</v>
      </c>
      <c r="C5046" s="223">
        <v>24</v>
      </c>
      <c r="D5046" s="223">
        <v>2</v>
      </c>
      <c r="E5046" s="223">
        <v>128117</v>
      </c>
    </row>
    <row r="5047" spans="1:5" ht="15">
      <c r="A5047" s="223" t="s">
        <v>567</v>
      </c>
      <c r="B5047" s="223">
        <v>21</v>
      </c>
      <c r="C5047" s="223">
        <v>24</v>
      </c>
      <c r="D5047" s="223">
        <v>4</v>
      </c>
      <c r="E5047" s="223">
        <v>40952</v>
      </c>
    </row>
    <row r="5048" spans="1:5" ht="15">
      <c r="A5048" s="223" t="s">
        <v>567</v>
      </c>
      <c r="B5048" s="223">
        <v>21</v>
      </c>
      <c r="C5048" s="223">
        <v>24</v>
      </c>
      <c r="D5048" s="223">
        <v>8</v>
      </c>
      <c r="E5048" s="223">
        <v>500</v>
      </c>
    </row>
    <row r="5049" spans="1:5" ht="15">
      <c r="A5049" s="223" t="s">
        <v>567</v>
      </c>
      <c r="B5049" s="223">
        <v>21</v>
      </c>
      <c r="C5049" s="223">
        <v>26</v>
      </c>
      <c r="D5049" s="223">
        <v>2</v>
      </c>
      <c r="E5049" s="223">
        <v>640756</v>
      </c>
    </row>
    <row r="5050" spans="1:5" ht="15">
      <c r="A5050" s="223" t="s">
        <v>567</v>
      </c>
      <c r="B5050" s="223">
        <v>21</v>
      </c>
      <c r="C5050" s="223">
        <v>26</v>
      </c>
      <c r="D5050" s="223">
        <v>3</v>
      </c>
      <c r="E5050" s="223">
        <v>328337</v>
      </c>
    </row>
    <row r="5051" spans="1:5" ht="15">
      <c r="A5051" s="223" t="s">
        <v>567</v>
      </c>
      <c r="B5051" s="223">
        <v>21</v>
      </c>
      <c r="C5051" s="223">
        <v>26</v>
      </c>
      <c r="D5051" s="223">
        <v>4</v>
      </c>
      <c r="E5051" s="223">
        <v>410857</v>
      </c>
    </row>
    <row r="5052" spans="1:5" ht="15">
      <c r="A5052" s="223" t="s">
        <v>567</v>
      </c>
      <c r="B5052" s="223">
        <v>21</v>
      </c>
      <c r="C5052" s="223">
        <v>26</v>
      </c>
      <c r="D5052" s="223">
        <v>5</v>
      </c>
      <c r="E5052" s="223">
        <v>55000</v>
      </c>
    </row>
    <row r="5053" spans="1:5" ht="15">
      <c r="A5053" s="223" t="s">
        <v>567</v>
      </c>
      <c r="B5053" s="223">
        <v>21</v>
      </c>
      <c r="C5053" s="223">
        <v>26</v>
      </c>
      <c r="D5053" s="223">
        <v>7</v>
      </c>
      <c r="E5053" s="223">
        <v>584140</v>
      </c>
    </row>
    <row r="5054" spans="1:5" ht="15">
      <c r="A5054" s="223" t="s">
        <v>567</v>
      </c>
      <c r="B5054" s="223">
        <v>21</v>
      </c>
      <c r="C5054" s="223">
        <v>27</v>
      </c>
      <c r="D5054" s="223">
        <v>2</v>
      </c>
      <c r="E5054" s="223">
        <v>7544026</v>
      </c>
    </row>
    <row r="5055" spans="1:5" ht="15">
      <c r="A5055" s="223" t="s">
        <v>567</v>
      </c>
      <c r="B5055" s="223">
        <v>21</v>
      </c>
      <c r="C5055" s="223">
        <v>27</v>
      </c>
      <c r="D5055" s="223">
        <v>3</v>
      </c>
      <c r="E5055" s="223">
        <v>5707516</v>
      </c>
    </row>
    <row r="5056" spans="1:5" ht="15">
      <c r="A5056" s="223" t="s">
        <v>567</v>
      </c>
      <c r="B5056" s="223">
        <v>21</v>
      </c>
      <c r="C5056" s="223">
        <v>27</v>
      </c>
      <c r="D5056" s="223">
        <v>4</v>
      </c>
      <c r="E5056" s="223">
        <v>6083321</v>
      </c>
    </row>
    <row r="5057" spans="1:5" ht="15">
      <c r="A5057" s="223" t="s">
        <v>567</v>
      </c>
      <c r="B5057" s="223">
        <v>21</v>
      </c>
      <c r="C5057" s="223">
        <v>27</v>
      </c>
      <c r="D5057" s="223">
        <v>5</v>
      </c>
      <c r="E5057" s="223">
        <v>75000</v>
      </c>
    </row>
    <row r="5058" spans="1:5" ht="15">
      <c r="A5058" s="223" t="s">
        <v>567</v>
      </c>
      <c r="B5058" s="223">
        <v>21</v>
      </c>
      <c r="C5058" s="223">
        <v>27</v>
      </c>
      <c r="D5058" s="223">
        <v>7</v>
      </c>
      <c r="E5058" s="223">
        <v>335000</v>
      </c>
    </row>
    <row r="5059" spans="1:5" ht="15">
      <c r="A5059" s="223" t="s">
        <v>567</v>
      </c>
      <c r="B5059" s="223">
        <v>21</v>
      </c>
      <c r="C5059" s="223">
        <v>31</v>
      </c>
      <c r="D5059" s="223">
        <v>2</v>
      </c>
      <c r="E5059" s="223">
        <v>118596</v>
      </c>
    </row>
    <row r="5060" spans="1:5" ht="15">
      <c r="A5060" s="223" t="s">
        <v>567</v>
      </c>
      <c r="B5060" s="223">
        <v>21</v>
      </c>
      <c r="C5060" s="223">
        <v>31</v>
      </c>
      <c r="D5060" s="223">
        <v>4</v>
      </c>
      <c r="E5060" s="223">
        <v>52149</v>
      </c>
    </row>
    <row r="5061" spans="1:5" ht="15">
      <c r="A5061" s="223" t="s">
        <v>567</v>
      </c>
      <c r="B5061" s="223">
        <v>24</v>
      </c>
      <c r="C5061" s="223">
        <v>26</v>
      </c>
      <c r="D5061" s="223">
        <v>2</v>
      </c>
      <c r="E5061" s="223">
        <v>3025704</v>
      </c>
    </row>
    <row r="5062" spans="1:5" ht="15">
      <c r="A5062" s="223" t="s">
        <v>567</v>
      </c>
      <c r="B5062" s="223">
        <v>24</v>
      </c>
      <c r="C5062" s="223">
        <v>26</v>
      </c>
      <c r="D5062" s="223">
        <v>4</v>
      </c>
      <c r="E5062" s="223">
        <v>1108619</v>
      </c>
    </row>
    <row r="5063" spans="1:5" ht="15">
      <c r="A5063" s="223" t="s">
        <v>567</v>
      </c>
      <c r="B5063" s="223">
        <v>24</v>
      </c>
      <c r="C5063" s="223">
        <v>27</v>
      </c>
      <c r="D5063" s="223">
        <v>3</v>
      </c>
      <c r="E5063" s="223">
        <v>1278</v>
      </c>
    </row>
    <row r="5064" spans="1:5" ht="15">
      <c r="A5064" s="223" t="s">
        <v>567</v>
      </c>
      <c r="B5064" s="223">
        <v>24</v>
      </c>
      <c r="C5064" s="223">
        <v>27</v>
      </c>
      <c r="D5064" s="223">
        <v>4</v>
      </c>
      <c r="E5064" s="223">
        <v>306</v>
      </c>
    </row>
    <row r="5065" spans="1:5" ht="15">
      <c r="A5065" s="223" t="s">
        <v>569</v>
      </c>
      <c r="B5065" s="223">
        <v>21</v>
      </c>
      <c r="C5065" s="223">
        <v>21</v>
      </c>
      <c r="D5065" s="223">
        <v>2</v>
      </c>
      <c r="E5065" s="223">
        <v>78329</v>
      </c>
    </row>
    <row r="5066" spans="1:5" ht="15">
      <c r="A5066" s="223" t="s">
        <v>569</v>
      </c>
      <c r="B5066" s="223">
        <v>21</v>
      </c>
      <c r="C5066" s="223">
        <v>21</v>
      </c>
      <c r="D5066" s="223">
        <v>3</v>
      </c>
      <c r="E5066" s="223">
        <v>82472</v>
      </c>
    </row>
    <row r="5067" spans="1:5" ht="15">
      <c r="A5067" s="223" t="s">
        <v>569</v>
      </c>
      <c r="B5067" s="223">
        <v>21</v>
      </c>
      <c r="C5067" s="223">
        <v>21</v>
      </c>
      <c r="D5067" s="223">
        <v>4</v>
      </c>
      <c r="E5067" s="223">
        <v>55871</v>
      </c>
    </row>
    <row r="5068" spans="1:5" ht="15">
      <c r="A5068" s="223" t="s">
        <v>569</v>
      </c>
      <c r="B5068" s="223">
        <v>21</v>
      </c>
      <c r="C5068" s="223">
        <v>21</v>
      </c>
      <c r="D5068" s="223">
        <v>5</v>
      </c>
      <c r="E5068" s="223">
        <v>500</v>
      </c>
    </row>
    <row r="5069" spans="1:5" ht="15">
      <c r="A5069" s="223" t="s">
        <v>569</v>
      </c>
      <c r="B5069" s="223">
        <v>21</v>
      </c>
      <c r="C5069" s="223">
        <v>21</v>
      </c>
      <c r="D5069" s="223">
        <v>7</v>
      </c>
      <c r="E5069" s="223">
        <v>5300</v>
      </c>
    </row>
    <row r="5070" spans="1:5" ht="15">
      <c r="A5070" s="223" t="s">
        <v>569</v>
      </c>
      <c r="B5070" s="223">
        <v>21</v>
      </c>
      <c r="C5070" s="223">
        <v>26</v>
      </c>
      <c r="D5070" s="223">
        <v>2</v>
      </c>
      <c r="E5070" s="223">
        <v>264459</v>
      </c>
    </row>
    <row r="5071" spans="1:5" ht="15">
      <c r="A5071" s="223" t="s">
        <v>569</v>
      </c>
      <c r="B5071" s="223">
        <v>21</v>
      </c>
      <c r="C5071" s="223">
        <v>26</v>
      </c>
      <c r="D5071" s="223">
        <v>4</v>
      </c>
      <c r="E5071" s="223">
        <v>104888</v>
      </c>
    </row>
    <row r="5072" spans="1:5" ht="15">
      <c r="A5072" s="223" t="s">
        <v>569</v>
      </c>
      <c r="B5072" s="223">
        <v>21</v>
      </c>
      <c r="C5072" s="223">
        <v>26</v>
      </c>
      <c r="D5072" s="223">
        <v>5</v>
      </c>
      <c r="E5072" s="223">
        <v>3150</v>
      </c>
    </row>
    <row r="5073" spans="1:5" ht="15">
      <c r="A5073" s="223" t="s">
        <v>569</v>
      </c>
      <c r="B5073" s="223">
        <v>21</v>
      </c>
      <c r="C5073" s="223">
        <v>27</v>
      </c>
      <c r="D5073" s="223">
        <v>2</v>
      </c>
      <c r="E5073" s="223">
        <v>665486</v>
      </c>
    </row>
    <row r="5074" spans="1:5" ht="15">
      <c r="A5074" s="223" t="s">
        <v>569</v>
      </c>
      <c r="B5074" s="223">
        <v>21</v>
      </c>
      <c r="C5074" s="223">
        <v>27</v>
      </c>
      <c r="D5074" s="223">
        <v>3</v>
      </c>
      <c r="E5074" s="223">
        <v>575850</v>
      </c>
    </row>
    <row r="5075" spans="1:5" ht="15">
      <c r="A5075" s="223" t="s">
        <v>569</v>
      </c>
      <c r="B5075" s="223">
        <v>21</v>
      </c>
      <c r="C5075" s="223">
        <v>27</v>
      </c>
      <c r="D5075" s="223">
        <v>4</v>
      </c>
      <c r="E5075" s="223">
        <v>647087</v>
      </c>
    </row>
    <row r="5076" spans="1:5" ht="15">
      <c r="A5076" s="223" t="s">
        <v>569</v>
      </c>
      <c r="B5076" s="223">
        <v>21</v>
      </c>
      <c r="C5076" s="223">
        <v>27</v>
      </c>
      <c r="D5076" s="223">
        <v>5</v>
      </c>
      <c r="E5076" s="223">
        <v>4600</v>
      </c>
    </row>
    <row r="5077" spans="1:5" ht="15">
      <c r="A5077" s="223" t="s">
        <v>569</v>
      </c>
      <c r="B5077" s="223">
        <v>21</v>
      </c>
      <c r="C5077" s="223">
        <v>27</v>
      </c>
      <c r="D5077" s="223">
        <v>7</v>
      </c>
      <c r="E5077" s="223">
        <v>10750</v>
      </c>
    </row>
    <row r="5078" spans="1:5" ht="15">
      <c r="A5078" s="223" t="s">
        <v>569</v>
      </c>
      <c r="B5078" s="223">
        <v>21</v>
      </c>
      <c r="C5078" s="223">
        <v>34</v>
      </c>
      <c r="D5078" s="223">
        <v>2</v>
      </c>
      <c r="E5078" s="223">
        <v>5452</v>
      </c>
    </row>
    <row r="5079" spans="1:5" ht="15">
      <c r="A5079" s="223" t="s">
        <v>569</v>
      </c>
      <c r="B5079" s="223">
        <v>21</v>
      </c>
      <c r="C5079" s="223">
        <v>34</v>
      </c>
      <c r="D5079" s="223">
        <v>4</v>
      </c>
      <c r="E5079" s="223">
        <v>1320</v>
      </c>
    </row>
    <row r="5080" spans="1:5" ht="15">
      <c r="A5080" s="223" t="s">
        <v>569</v>
      </c>
      <c r="B5080" s="223">
        <v>23</v>
      </c>
      <c r="C5080" s="223">
        <v>26</v>
      </c>
      <c r="D5080" s="223">
        <v>5</v>
      </c>
      <c r="E5080" s="223">
        <v>55978</v>
      </c>
    </row>
    <row r="5081" spans="1:5" ht="15">
      <c r="A5081" s="223" t="s">
        <v>569</v>
      </c>
      <c r="B5081" s="223">
        <v>23</v>
      </c>
      <c r="C5081" s="223">
        <v>27</v>
      </c>
      <c r="D5081" s="223">
        <v>7</v>
      </c>
      <c r="E5081" s="223">
        <v>4689</v>
      </c>
    </row>
    <row r="5082" spans="1:5" ht="15">
      <c r="A5082" s="223" t="s">
        <v>569</v>
      </c>
      <c r="B5082" s="223">
        <v>24</v>
      </c>
      <c r="C5082" s="223">
        <v>26</v>
      </c>
      <c r="D5082" s="223">
        <v>2</v>
      </c>
      <c r="E5082" s="223">
        <v>246031</v>
      </c>
    </row>
    <row r="5083" spans="1:5" ht="15">
      <c r="A5083" s="223" t="s">
        <v>569</v>
      </c>
      <c r="B5083" s="223">
        <v>24</v>
      </c>
      <c r="C5083" s="223">
        <v>26</v>
      </c>
      <c r="D5083" s="223">
        <v>4</v>
      </c>
      <c r="E5083" s="223">
        <v>86715</v>
      </c>
    </row>
    <row r="5084" spans="1:5" ht="15">
      <c r="A5084" s="223" t="s">
        <v>571</v>
      </c>
      <c r="B5084" s="223">
        <v>21</v>
      </c>
      <c r="C5084" s="223">
        <v>27</v>
      </c>
      <c r="D5084" s="223">
        <v>2</v>
      </c>
      <c r="E5084" s="223">
        <v>96619</v>
      </c>
    </row>
    <row r="5085" spans="1:5" ht="15">
      <c r="A5085" s="223" t="s">
        <v>571</v>
      </c>
      <c r="B5085" s="223">
        <v>21</v>
      </c>
      <c r="C5085" s="223">
        <v>27</v>
      </c>
      <c r="D5085" s="223">
        <v>3</v>
      </c>
      <c r="E5085" s="223">
        <v>29818</v>
      </c>
    </row>
    <row r="5086" spans="1:5" ht="15">
      <c r="A5086" s="223" t="s">
        <v>571</v>
      </c>
      <c r="B5086" s="223">
        <v>21</v>
      </c>
      <c r="C5086" s="223">
        <v>27</v>
      </c>
      <c r="D5086" s="223">
        <v>4</v>
      </c>
      <c r="E5086" s="223">
        <v>53635</v>
      </c>
    </row>
    <row r="5087" spans="1:5" ht="15">
      <c r="A5087" s="223" t="s">
        <v>571</v>
      </c>
      <c r="B5087" s="223">
        <v>21</v>
      </c>
      <c r="C5087" s="223">
        <v>27</v>
      </c>
      <c r="D5087" s="223">
        <v>5</v>
      </c>
      <c r="E5087" s="223">
        <v>2000</v>
      </c>
    </row>
    <row r="5088" spans="1:5" ht="15">
      <c r="A5088" s="223" t="s">
        <v>571</v>
      </c>
      <c r="B5088" s="223">
        <v>21</v>
      </c>
      <c r="C5088" s="223">
        <v>27</v>
      </c>
      <c r="D5088" s="223">
        <v>7</v>
      </c>
      <c r="E5088" s="223">
        <v>129386</v>
      </c>
    </row>
    <row r="5089" spans="1:5" ht="15">
      <c r="A5089" s="223" t="s">
        <v>571</v>
      </c>
      <c r="B5089" s="223">
        <v>21</v>
      </c>
      <c r="C5089" s="223">
        <v>27</v>
      </c>
      <c r="D5089" s="223">
        <v>8</v>
      </c>
      <c r="E5089" s="223">
        <v>6849</v>
      </c>
    </row>
    <row r="5090" spans="1:5" ht="15">
      <c r="A5090" s="223" t="s">
        <v>571</v>
      </c>
      <c r="B5090" s="223">
        <v>24</v>
      </c>
      <c r="C5090" s="223">
        <v>29</v>
      </c>
      <c r="D5090" s="223">
        <v>7</v>
      </c>
      <c r="E5090" s="223">
        <v>42000</v>
      </c>
    </row>
    <row r="5091" spans="1:5" ht="15">
      <c r="A5091" s="223" t="s">
        <v>937</v>
      </c>
      <c r="B5091" s="223">
        <v>21</v>
      </c>
      <c r="C5091" s="223">
        <v>21</v>
      </c>
      <c r="D5091" s="223">
        <v>2</v>
      </c>
      <c r="E5091" s="223">
        <v>41151</v>
      </c>
    </row>
    <row r="5092" spans="1:5" ht="15">
      <c r="A5092" s="223" t="s">
        <v>937</v>
      </c>
      <c r="B5092" s="223">
        <v>21</v>
      </c>
      <c r="C5092" s="223">
        <v>21</v>
      </c>
      <c r="D5092" s="223">
        <v>4</v>
      </c>
      <c r="E5092" s="223">
        <v>22048</v>
      </c>
    </row>
    <row r="5093" spans="1:5" ht="15">
      <c r="A5093" s="223" t="s">
        <v>937</v>
      </c>
      <c r="B5093" s="223">
        <v>21</v>
      </c>
      <c r="C5093" s="223">
        <v>21</v>
      </c>
      <c r="D5093" s="223">
        <v>5</v>
      </c>
      <c r="E5093" s="223">
        <v>215</v>
      </c>
    </row>
    <row r="5094" spans="1:5" ht="15">
      <c r="A5094" s="223" t="s">
        <v>937</v>
      </c>
      <c r="B5094" s="223">
        <v>21</v>
      </c>
      <c r="C5094" s="223">
        <v>26</v>
      </c>
      <c r="D5094" s="223">
        <v>2</v>
      </c>
      <c r="E5094" s="223">
        <v>3151</v>
      </c>
    </row>
    <row r="5095" spans="1:5" ht="15">
      <c r="A5095" s="223" t="s">
        <v>937</v>
      </c>
      <c r="B5095" s="223">
        <v>21</v>
      </c>
      <c r="C5095" s="223">
        <v>26</v>
      </c>
      <c r="D5095" s="223">
        <v>4</v>
      </c>
      <c r="E5095" s="223">
        <v>1347</v>
      </c>
    </row>
    <row r="5096" spans="1:5" ht="15">
      <c r="A5096" s="223" t="s">
        <v>937</v>
      </c>
      <c r="B5096" s="223">
        <v>21</v>
      </c>
      <c r="C5096" s="223">
        <v>26</v>
      </c>
      <c r="D5096" s="223">
        <v>5</v>
      </c>
      <c r="E5096" s="223">
        <v>2800</v>
      </c>
    </row>
    <row r="5097" spans="1:5" ht="15">
      <c r="A5097" s="223" t="s">
        <v>937</v>
      </c>
      <c r="B5097" s="223">
        <v>21</v>
      </c>
      <c r="C5097" s="223">
        <v>26</v>
      </c>
      <c r="D5097" s="223">
        <v>7</v>
      </c>
      <c r="E5097" s="223">
        <v>150000</v>
      </c>
    </row>
    <row r="5098" spans="1:5" ht="15">
      <c r="A5098" s="223" t="s">
        <v>937</v>
      </c>
      <c r="B5098" s="223">
        <v>21</v>
      </c>
      <c r="C5098" s="223">
        <v>27</v>
      </c>
      <c r="D5098" s="223">
        <v>2</v>
      </c>
      <c r="E5098" s="223">
        <v>159037</v>
      </c>
    </row>
    <row r="5099" spans="1:5" ht="15">
      <c r="A5099" s="223" t="s">
        <v>937</v>
      </c>
      <c r="B5099" s="223">
        <v>21</v>
      </c>
      <c r="C5099" s="223">
        <v>27</v>
      </c>
      <c r="D5099" s="223">
        <v>3</v>
      </c>
      <c r="E5099" s="223">
        <v>162260</v>
      </c>
    </row>
    <row r="5100" spans="1:5" ht="15">
      <c r="A5100" s="223" t="s">
        <v>937</v>
      </c>
      <c r="B5100" s="223">
        <v>21</v>
      </c>
      <c r="C5100" s="223">
        <v>27</v>
      </c>
      <c r="D5100" s="223">
        <v>4</v>
      </c>
      <c r="E5100" s="223">
        <v>187656</v>
      </c>
    </row>
    <row r="5101" spans="1:5" ht="15">
      <c r="A5101" s="223" t="s">
        <v>937</v>
      </c>
      <c r="B5101" s="223">
        <v>21</v>
      </c>
      <c r="C5101" s="223">
        <v>27</v>
      </c>
      <c r="D5101" s="223">
        <v>5</v>
      </c>
      <c r="E5101" s="223">
        <v>36781</v>
      </c>
    </row>
    <row r="5102" spans="1:5" ht="15">
      <c r="A5102" s="223" t="s">
        <v>937</v>
      </c>
      <c r="B5102" s="223">
        <v>21</v>
      </c>
      <c r="C5102" s="223">
        <v>34</v>
      </c>
      <c r="D5102" s="223">
        <v>2</v>
      </c>
      <c r="E5102" s="223">
        <v>4919</v>
      </c>
    </row>
    <row r="5103" spans="1:5" ht="15">
      <c r="A5103" s="223" t="s">
        <v>937</v>
      </c>
      <c r="B5103" s="223">
        <v>21</v>
      </c>
      <c r="C5103" s="223">
        <v>34</v>
      </c>
      <c r="D5103" s="223">
        <v>4</v>
      </c>
      <c r="E5103" s="223">
        <v>2258</v>
      </c>
    </row>
    <row r="5104" spans="1:5" ht="15">
      <c r="A5104" s="223" t="s">
        <v>937</v>
      </c>
      <c r="B5104" s="223">
        <v>24</v>
      </c>
      <c r="C5104" s="223">
        <v>26</v>
      </c>
      <c r="D5104" s="223">
        <v>2</v>
      </c>
      <c r="E5104" s="223">
        <v>59986</v>
      </c>
    </row>
    <row r="5105" spans="1:5" ht="15">
      <c r="A5105" s="223" t="s">
        <v>937</v>
      </c>
      <c r="B5105" s="223">
        <v>24</v>
      </c>
      <c r="C5105" s="223">
        <v>26</v>
      </c>
      <c r="D5105" s="223">
        <v>4</v>
      </c>
      <c r="E5105" s="223">
        <v>25642</v>
      </c>
    </row>
    <row r="5106" spans="1:5" ht="15">
      <c r="A5106" s="223" t="s">
        <v>937</v>
      </c>
      <c r="B5106" s="223">
        <v>24</v>
      </c>
      <c r="C5106" s="223">
        <v>26</v>
      </c>
      <c r="D5106" s="223">
        <v>7</v>
      </c>
      <c r="E5106" s="223">
        <v>3646</v>
      </c>
    </row>
    <row r="5107" spans="1:5" ht="15">
      <c r="A5107" s="223" t="s">
        <v>573</v>
      </c>
      <c r="B5107" s="223">
        <v>21</v>
      </c>
      <c r="C5107" s="223">
        <v>21</v>
      </c>
      <c r="D5107" s="223">
        <v>0</v>
      </c>
      <c r="E5107" s="223">
        <v>6430</v>
      </c>
    </row>
    <row r="5108" spans="1:5" ht="15">
      <c r="A5108" s="223" t="s">
        <v>573</v>
      </c>
      <c r="B5108" s="223">
        <v>21</v>
      </c>
      <c r="C5108" s="223">
        <v>21</v>
      </c>
      <c r="D5108" s="223">
        <v>2</v>
      </c>
      <c r="E5108" s="223">
        <v>832080</v>
      </c>
    </row>
    <row r="5109" spans="1:5" ht="15">
      <c r="A5109" s="223" t="s">
        <v>573</v>
      </c>
      <c r="B5109" s="223">
        <v>21</v>
      </c>
      <c r="C5109" s="223">
        <v>21</v>
      </c>
      <c r="D5109" s="223">
        <v>3</v>
      </c>
      <c r="E5109" s="223">
        <v>373135</v>
      </c>
    </row>
    <row r="5110" spans="1:5" ht="15">
      <c r="A5110" s="223" t="s">
        <v>573</v>
      </c>
      <c r="B5110" s="223">
        <v>21</v>
      </c>
      <c r="C5110" s="223">
        <v>21</v>
      </c>
      <c r="D5110" s="223">
        <v>4</v>
      </c>
      <c r="E5110" s="223">
        <v>410843</v>
      </c>
    </row>
    <row r="5111" spans="1:5" ht="15">
      <c r="A5111" s="223" t="s">
        <v>573</v>
      </c>
      <c r="B5111" s="223">
        <v>21</v>
      </c>
      <c r="C5111" s="223">
        <v>21</v>
      </c>
      <c r="D5111" s="223">
        <v>5</v>
      </c>
      <c r="E5111" s="223">
        <v>-242819</v>
      </c>
    </row>
    <row r="5112" spans="1:5" ht="15">
      <c r="A5112" s="223" t="s">
        <v>573</v>
      </c>
      <c r="B5112" s="223">
        <v>21</v>
      </c>
      <c r="C5112" s="223">
        <v>21</v>
      </c>
      <c r="D5112" s="223">
        <v>7</v>
      </c>
      <c r="E5112" s="223">
        <v>-8202</v>
      </c>
    </row>
    <row r="5113" spans="1:5" ht="15">
      <c r="A5113" s="223" t="s">
        <v>573</v>
      </c>
      <c r="B5113" s="223">
        <v>21</v>
      </c>
      <c r="C5113" s="223">
        <v>21</v>
      </c>
      <c r="D5113" s="223">
        <v>8</v>
      </c>
      <c r="E5113" s="223">
        <v>3162</v>
      </c>
    </row>
    <row r="5114" spans="1:5" ht="15">
      <c r="A5114" s="223" t="s">
        <v>573</v>
      </c>
      <c r="B5114" s="223">
        <v>21</v>
      </c>
      <c r="C5114" s="223">
        <v>23</v>
      </c>
      <c r="D5114" s="223">
        <v>0</v>
      </c>
      <c r="E5114" s="223">
        <v>705</v>
      </c>
    </row>
    <row r="5115" spans="1:5" ht="15">
      <c r="A5115" s="223" t="s">
        <v>573</v>
      </c>
      <c r="B5115" s="223">
        <v>21</v>
      </c>
      <c r="C5115" s="223">
        <v>23</v>
      </c>
      <c r="D5115" s="223">
        <v>3</v>
      </c>
      <c r="E5115" s="223">
        <v>1977</v>
      </c>
    </row>
    <row r="5116" spans="1:5" ht="15">
      <c r="A5116" s="223" t="s">
        <v>573</v>
      </c>
      <c r="B5116" s="223">
        <v>21</v>
      </c>
      <c r="C5116" s="223">
        <v>23</v>
      </c>
      <c r="D5116" s="223">
        <v>4</v>
      </c>
      <c r="E5116" s="223">
        <v>435</v>
      </c>
    </row>
    <row r="5117" spans="1:5" ht="15">
      <c r="A5117" s="223" t="s">
        <v>573</v>
      </c>
      <c r="B5117" s="223">
        <v>21</v>
      </c>
      <c r="C5117" s="223">
        <v>23</v>
      </c>
      <c r="D5117" s="223">
        <v>5</v>
      </c>
      <c r="E5117" s="223">
        <v>5050</v>
      </c>
    </row>
    <row r="5118" spans="1:5" ht="15">
      <c r="A5118" s="223" t="s">
        <v>573</v>
      </c>
      <c r="B5118" s="223">
        <v>21</v>
      </c>
      <c r="C5118" s="223">
        <v>23</v>
      </c>
      <c r="D5118" s="223">
        <v>7</v>
      </c>
      <c r="E5118" s="223">
        <v>707</v>
      </c>
    </row>
    <row r="5119" spans="1:5" ht="15">
      <c r="A5119" s="223" t="s">
        <v>573</v>
      </c>
      <c r="B5119" s="223">
        <v>21</v>
      </c>
      <c r="C5119" s="223">
        <v>24</v>
      </c>
      <c r="D5119" s="223">
        <v>2</v>
      </c>
      <c r="E5119" s="223">
        <v>1128443</v>
      </c>
    </row>
    <row r="5120" spans="1:5" ht="15">
      <c r="A5120" s="223" t="s">
        <v>573</v>
      </c>
      <c r="B5120" s="223">
        <v>21</v>
      </c>
      <c r="C5120" s="223">
        <v>24</v>
      </c>
      <c r="D5120" s="223">
        <v>4</v>
      </c>
      <c r="E5120" s="223">
        <v>411837</v>
      </c>
    </row>
    <row r="5121" spans="1:5" ht="15">
      <c r="A5121" s="223" t="s">
        <v>573</v>
      </c>
      <c r="B5121" s="223">
        <v>21</v>
      </c>
      <c r="C5121" s="223">
        <v>26</v>
      </c>
      <c r="D5121" s="223">
        <v>0</v>
      </c>
      <c r="E5121" s="223">
        <v>23927</v>
      </c>
    </row>
    <row r="5122" spans="1:5" ht="15">
      <c r="A5122" s="223" t="s">
        <v>573</v>
      </c>
      <c r="B5122" s="223">
        <v>21</v>
      </c>
      <c r="C5122" s="223">
        <v>26</v>
      </c>
      <c r="D5122" s="223">
        <v>2</v>
      </c>
      <c r="E5122" s="223">
        <v>9815436</v>
      </c>
    </row>
    <row r="5123" spans="1:5" ht="15">
      <c r="A5123" s="223" t="s">
        <v>573</v>
      </c>
      <c r="B5123" s="223">
        <v>21</v>
      </c>
      <c r="C5123" s="223">
        <v>26</v>
      </c>
      <c r="D5123" s="223">
        <v>3</v>
      </c>
      <c r="E5123" s="223">
        <v>756039</v>
      </c>
    </row>
    <row r="5124" spans="1:5" ht="15">
      <c r="A5124" s="223" t="s">
        <v>573</v>
      </c>
      <c r="B5124" s="223">
        <v>21</v>
      </c>
      <c r="C5124" s="223">
        <v>26</v>
      </c>
      <c r="D5124" s="223">
        <v>4</v>
      </c>
      <c r="E5124" s="223">
        <v>3999054</v>
      </c>
    </row>
    <row r="5125" spans="1:5" ht="15">
      <c r="A5125" s="223" t="s">
        <v>573</v>
      </c>
      <c r="B5125" s="223">
        <v>21</v>
      </c>
      <c r="C5125" s="223">
        <v>26</v>
      </c>
      <c r="D5125" s="223">
        <v>5</v>
      </c>
      <c r="E5125" s="223">
        <v>144785</v>
      </c>
    </row>
    <row r="5126" spans="1:5" ht="15">
      <c r="A5126" s="223" t="s">
        <v>573</v>
      </c>
      <c r="B5126" s="223">
        <v>21</v>
      </c>
      <c r="C5126" s="223">
        <v>26</v>
      </c>
      <c r="D5126" s="223">
        <v>7</v>
      </c>
      <c r="E5126" s="223">
        <v>34466</v>
      </c>
    </row>
    <row r="5127" spans="1:5" ht="15">
      <c r="A5127" s="223" t="s">
        <v>573</v>
      </c>
      <c r="B5127" s="223">
        <v>21</v>
      </c>
      <c r="C5127" s="223">
        <v>26</v>
      </c>
      <c r="D5127" s="223">
        <v>8</v>
      </c>
      <c r="E5127" s="223">
        <v>23232</v>
      </c>
    </row>
    <row r="5128" spans="1:5" ht="15">
      <c r="A5128" s="223" t="s">
        <v>573</v>
      </c>
      <c r="B5128" s="223">
        <v>21</v>
      </c>
      <c r="C5128" s="223">
        <v>27</v>
      </c>
      <c r="D5128" s="223">
        <v>0</v>
      </c>
      <c r="E5128" s="223">
        <v>22729</v>
      </c>
    </row>
    <row r="5129" spans="1:5" ht="15">
      <c r="A5129" s="223" t="s">
        <v>573</v>
      </c>
      <c r="B5129" s="223">
        <v>21</v>
      </c>
      <c r="C5129" s="223">
        <v>27</v>
      </c>
      <c r="D5129" s="223">
        <v>2</v>
      </c>
      <c r="E5129" s="223">
        <v>13168427</v>
      </c>
    </row>
    <row r="5130" spans="1:5" ht="15">
      <c r="A5130" s="223" t="s">
        <v>573</v>
      </c>
      <c r="B5130" s="223">
        <v>21</v>
      </c>
      <c r="C5130" s="223">
        <v>27</v>
      </c>
      <c r="D5130" s="223">
        <v>3</v>
      </c>
      <c r="E5130" s="223">
        <v>11935362</v>
      </c>
    </row>
    <row r="5131" spans="1:5" ht="15">
      <c r="A5131" s="223" t="s">
        <v>573</v>
      </c>
      <c r="B5131" s="223">
        <v>21</v>
      </c>
      <c r="C5131" s="223">
        <v>27</v>
      </c>
      <c r="D5131" s="223">
        <v>4</v>
      </c>
      <c r="E5131" s="223">
        <v>13013622</v>
      </c>
    </row>
    <row r="5132" spans="1:5" ht="15">
      <c r="A5132" s="223" t="s">
        <v>573</v>
      </c>
      <c r="B5132" s="223">
        <v>21</v>
      </c>
      <c r="C5132" s="223">
        <v>27</v>
      </c>
      <c r="D5132" s="223">
        <v>5</v>
      </c>
      <c r="E5132" s="223">
        <v>306277</v>
      </c>
    </row>
    <row r="5133" spans="1:5" ht="15">
      <c r="A5133" s="223" t="s">
        <v>573</v>
      </c>
      <c r="B5133" s="223">
        <v>21</v>
      </c>
      <c r="C5133" s="223">
        <v>27</v>
      </c>
      <c r="D5133" s="223">
        <v>7</v>
      </c>
      <c r="E5133" s="223">
        <v>1923954</v>
      </c>
    </row>
    <row r="5134" spans="1:5" ht="15">
      <c r="A5134" s="223" t="s">
        <v>573</v>
      </c>
      <c r="B5134" s="223">
        <v>21</v>
      </c>
      <c r="C5134" s="223">
        <v>27</v>
      </c>
      <c r="D5134" s="223">
        <v>8</v>
      </c>
      <c r="E5134" s="223">
        <v>-4797</v>
      </c>
    </row>
    <row r="5135" spans="1:5" ht="15">
      <c r="A5135" s="223" t="s">
        <v>573</v>
      </c>
      <c r="B5135" s="223">
        <v>21</v>
      </c>
      <c r="C5135" s="223">
        <v>28</v>
      </c>
      <c r="D5135" s="223">
        <v>2</v>
      </c>
      <c r="E5135" s="223">
        <v>5105</v>
      </c>
    </row>
    <row r="5136" spans="1:5" ht="15">
      <c r="A5136" s="223" t="s">
        <v>573</v>
      </c>
      <c r="B5136" s="223">
        <v>21</v>
      </c>
      <c r="C5136" s="223">
        <v>28</v>
      </c>
      <c r="D5136" s="223">
        <v>3</v>
      </c>
      <c r="E5136" s="223">
        <v>9841</v>
      </c>
    </row>
    <row r="5137" spans="1:5" ht="15">
      <c r="A5137" s="223" t="s">
        <v>573</v>
      </c>
      <c r="B5137" s="223">
        <v>21</v>
      </c>
      <c r="C5137" s="223">
        <v>28</v>
      </c>
      <c r="D5137" s="223">
        <v>4</v>
      </c>
      <c r="E5137" s="223">
        <v>3441</v>
      </c>
    </row>
    <row r="5138" spans="1:5" ht="15">
      <c r="A5138" s="223" t="s">
        <v>573</v>
      </c>
      <c r="B5138" s="223">
        <v>21</v>
      </c>
      <c r="C5138" s="223">
        <v>28</v>
      </c>
      <c r="D5138" s="223">
        <v>7</v>
      </c>
      <c r="E5138" s="223">
        <v>6060</v>
      </c>
    </row>
    <row r="5139" spans="1:5" ht="15">
      <c r="A5139" s="223" t="s">
        <v>573</v>
      </c>
      <c r="B5139" s="223">
        <v>21</v>
      </c>
      <c r="C5139" s="223">
        <v>28</v>
      </c>
      <c r="D5139" s="223">
        <v>8</v>
      </c>
      <c r="E5139" s="223">
        <v>101</v>
      </c>
    </row>
    <row r="5140" spans="1:5" ht="15">
      <c r="A5140" s="223" t="s">
        <v>573</v>
      </c>
      <c r="B5140" s="223">
        <v>21</v>
      </c>
      <c r="C5140" s="223">
        <v>31</v>
      </c>
      <c r="D5140" s="223">
        <v>0</v>
      </c>
      <c r="E5140" s="223">
        <v>337</v>
      </c>
    </row>
    <row r="5141" spans="1:5" ht="15">
      <c r="A5141" s="223" t="s">
        <v>573</v>
      </c>
      <c r="B5141" s="223">
        <v>21</v>
      </c>
      <c r="C5141" s="223">
        <v>31</v>
      </c>
      <c r="D5141" s="223">
        <v>2</v>
      </c>
      <c r="E5141" s="223">
        <v>974553</v>
      </c>
    </row>
    <row r="5142" spans="1:5" ht="15">
      <c r="A5142" s="223" t="s">
        <v>573</v>
      </c>
      <c r="B5142" s="223">
        <v>21</v>
      </c>
      <c r="C5142" s="223">
        <v>31</v>
      </c>
      <c r="D5142" s="223">
        <v>3</v>
      </c>
      <c r="E5142" s="223">
        <v>9139</v>
      </c>
    </row>
    <row r="5143" spans="1:5" ht="15">
      <c r="A5143" s="223" t="s">
        <v>573</v>
      </c>
      <c r="B5143" s="223">
        <v>21</v>
      </c>
      <c r="C5143" s="223">
        <v>31</v>
      </c>
      <c r="D5143" s="223">
        <v>4</v>
      </c>
      <c r="E5143" s="223">
        <v>184558</v>
      </c>
    </row>
    <row r="5144" spans="1:5" ht="15">
      <c r="A5144" s="223" t="s">
        <v>573</v>
      </c>
      <c r="B5144" s="223">
        <v>21</v>
      </c>
      <c r="C5144" s="223">
        <v>31</v>
      </c>
      <c r="D5144" s="223">
        <v>5</v>
      </c>
      <c r="E5144" s="223">
        <v>3334</v>
      </c>
    </row>
    <row r="5145" spans="1:5" ht="15">
      <c r="A5145" s="223" t="s">
        <v>573</v>
      </c>
      <c r="B5145" s="223">
        <v>21</v>
      </c>
      <c r="C5145" s="223">
        <v>31</v>
      </c>
      <c r="D5145" s="223">
        <v>7</v>
      </c>
      <c r="E5145" s="223">
        <v>32347</v>
      </c>
    </row>
    <row r="5146" spans="1:5" ht="15">
      <c r="A5146" s="223" t="s">
        <v>573</v>
      </c>
      <c r="B5146" s="223">
        <v>21</v>
      </c>
      <c r="C5146" s="223">
        <v>31</v>
      </c>
      <c r="D5146" s="223">
        <v>8</v>
      </c>
      <c r="E5146" s="223">
        <v>7878</v>
      </c>
    </row>
    <row r="5147" spans="1:5" ht="15">
      <c r="A5147" s="223" t="s">
        <v>573</v>
      </c>
      <c r="B5147" s="223">
        <v>21</v>
      </c>
      <c r="C5147" s="223">
        <v>32</v>
      </c>
      <c r="D5147" s="223">
        <v>0</v>
      </c>
      <c r="E5147" s="223">
        <v>86965</v>
      </c>
    </row>
    <row r="5148" spans="1:5" ht="15">
      <c r="A5148" s="223" t="s">
        <v>573</v>
      </c>
      <c r="B5148" s="223">
        <v>21</v>
      </c>
      <c r="C5148" s="223">
        <v>32</v>
      </c>
      <c r="D5148" s="223">
        <v>5</v>
      </c>
      <c r="E5148" s="223">
        <v>85415</v>
      </c>
    </row>
    <row r="5149" spans="1:5" ht="15">
      <c r="A5149" s="223" t="s">
        <v>573</v>
      </c>
      <c r="B5149" s="223">
        <v>21</v>
      </c>
      <c r="C5149" s="223">
        <v>32</v>
      </c>
      <c r="D5149" s="223">
        <v>7</v>
      </c>
      <c r="E5149" s="223">
        <v>505</v>
      </c>
    </row>
    <row r="5150" spans="1:5" ht="15">
      <c r="A5150" s="223" t="s">
        <v>573</v>
      </c>
      <c r="B5150" s="223">
        <v>21</v>
      </c>
      <c r="C5150" s="223">
        <v>33</v>
      </c>
      <c r="D5150" s="223">
        <v>2</v>
      </c>
      <c r="E5150" s="223">
        <v>124000</v>
      </c>
    </row>
    <row r="5151" spans="1:5" ht="15">
      <c r="A5151" s="223" t="s">
        <v>573</v>
      </c>
      <c r="B5151" s="223">
        <v>21</v>
      </c>
      <c r="C5151" s="223">
        <v>33</v>
      </c>
      <c r="D5151" s="223">
        <v>4</v>
      </c>
      <c r="E5151" s="223">
        <v>17954</v>
      </c>
    </row>
    <row r="5152" spans="1:5" ht="15">
      <c r="A5152" s="223" t="s">
        <v>573</v>
      </c>
      <c r="B5152" s="223">
        <v>21</v>
      </c>
      <c r="C5152" s="223">
        <v>33</v>
      </c>
      <c r="D5152" s="223">
        <v>5</v>
      </c>
      <c r="E5152" s="223">
        <v>243483</v>
      </c>
    </row>
    <row r="5153" spans="1:5" ht="15">
      <c r="A5153" s="223" t="s">
        <v>573</v>
      </c>
      <c r="B5153" s="223">
        <v>21</v>
      </c>
      <c r="C5153" s="223">
        <v>34</v>
      </c>
      <c r="D5153" s="223">
        <v>2</v>
      </c>
      <c r="E5153" s="223">
        <v>284553</v>
      </c>
    </row>
    <row r="5154" spans="1:5" ht="15">
      <c r="A5154" s="223" t="s">
        <v>573</v>
      </c>
      <c r="B5154" s="223">
        <v>21</v>
      </c>
      <c r="C5154" s="223">
        <v>34</v>
      </c>
      <c r="D5154" s="223">
        <v>4</v>
      </c>
      <c r="E5154" s="223">
        <v>63571</v>
      </c>
    </row>
    <row r="5155" spans="1:5" ht="15">
      <c r="A5155" s="223" t="s">
        <v>573</v>
      </c>
      <c r="B5155" s="223">
        <v>24</v>
      </c>
      <c r="C5155" s="223">
        <v>26</v>
      </c>
      <c r="D5155" s="223">
        <v>0</v>
      </c>
      <c r="E5155" s="223">
        <v>433</v>
      </c>
    </row>
    <row r="5156" spans="1:5" ht="15">
      <c r="A5156" s="223" t="s">
        <v>573</v>
      </c>
      <c r="B5156" s="223">
        <v>24</v>
      </c>
      <c r="C5156" s="223">
        <v>26</v>
      </c>
      <c r="D5156" s="223">
        <v>2</v>
      </c>
      <c r="E5156" s="223">
        <v>194565</v>
      </c>
    </row>
    <row r="5157" spans="1:5" ht="15">
      <c r="A5157" s="223" t="s">
        <v>573</v>
      </c>
      <c r="B5157" s="223">
        <v>24</v>
      </c>
      <c r="C5157" s="223">
        <v>26</v>
      </c>
      <c r="D5157" s="223">
        <v>4</v>
      </c>
      <c r="E5157" s="223">
        <v>70838</v>
      </c>
    </row>
    <row r="5158" spans="1:5" ht="15">
      <c r="A5158" s="223" t="s">
        <v>573</v>
      </c>
      <c r="B5158" s="223">
        <v>24</v>
      </c>
      <c r="C5158" s="223">
        <v>26</v>
      </c>
      <c r="D5158" s="223">
        <v>7</v>
      </c>
      <c r="E5158" s="223">
        <v>51</v>
      </c>
    </row>
    <row r="5159" spans="1:5" ht="15">
      <c r="A5159" s="223" t="s">
        <v>573</v>
      </c>
      <c r="B5159" s="223">
        <v>24</v>
      </c>
      <c r="C5159" s="223">
        <v>26</v>
      </c>
      <c r="D5159" s="223">
        <v>8</v>
      </c>
      <c r="E5159" s="223">
        <v>253</v>
      </c>
    </row>
    <row r="5160" spans="1:5" ht="15">
      <c r="A5160" s="223" t="s">
        <v>573</v>
      </c>
      <c r="B5160" s="223">
        <v>24</v>
      </c>
      <c r="C5160" s="223">
        <v>27</v>
      </c>
      <c r="D5160" s="223">
        <v>0</v>
      </c>
      <c r="E5160" s="223">
        <v>2096</v>
      </c>
    </row>
    <row r="5161" spans="1:5" ht="15">
      <c r="A5161" s="223" t="s">
        <v>573</v>
      </c>
      <c r="B5161" s="223">
        <v>24</v>
      </c>
      <c r="C5161" s="223">
        <v>27</v>
      </c>
      <c r="D5161" s="223">
        <v>2</v>
      </c>
      <c r="E5161" s="223">
        <v>4321213</v>
      </c>
    </row>
    <row r="5162" spans="1:5" ht="15">
      <c r="A5162" s="223" t="s">
        <v>573</v>
      </c>
      <c r="B5162" s="223">
        <v>24</v>
      </c>
      <c r="C5162" s="223">
        <v>27</v>
      </c>
      <c r="D5162" s="223">
        <v>3</v>
      </c>
      <c r="E5162" s="223">
        <v>67986</v>
      </c>
    </row>
    <row r="5163" spans="1:5" ht="15">
      <c r="A5163" s="223" t="s">
        <v>573</v>
      </c>
      <c r="B5163" s="223">
        <v>24</v>
      </c>
      <c r="C5163" s="223">
        <v>27</v>
      </c>
      <c r="D5163" s="223">
        <v>4</v>
      </c>
      <c r="E5163" s="223">
        <v>1601720</v>
      </c>
    </row>
    <row r="5164" spans="1:5" ht="15">
      <c r="A5164" s="223" t="s">
        <v>573</v>
      </c>
      <c r="B5164" s="223">
        <v>24</v>
      </c>
      <c r="C5164" s="223">
        <v>27</v>
      </c>
      <c r="D5164" s="223">
        <v>5</v>
      </c>
      <c r="E5164" s="223">
        <v>15004</v>
      </c>
    </row>
    <row r="5165" spans="1:5" ht="15">
      <c r="A5165" s="223" t="s">
        <v>573</v>
      </c>
      <c r="B5165" s="223">
        <v>24</v>
      </c>
      <c r="C5165" s="223">
        <v>27</v>
      </c>
      <c r="D5165" s="223">
        <v>7</v>
      </c>
      <c r="E5165" s="223">
        <v>57</v>
      </c>
    </row>
    <row r="5166" spans="1:5" ht="15">
      <c r="A5166" s="223" t="s">
        <v>573</v>
      </c>
      <c r="B5166" s="223">
        <v>24</v>
      </c>
      <c r="C5166" s="223">
        <v>27</v>
      </c>
      <c r="D5166" s="223">
        <v>8</v>
      </c>
      <c r="E5166" s="223">
        <v>391</v>
      </c>
    </row>
    <row r="5167" spans="1:5" ht="15">
      <c r="A5167" s="223" t="s">
        <v>573</v>
      </c>
      <c r="B5167" s="223">
        <v>24</v>
      </c>
      <c r="C5167" s="223">
        <v>31</v>
      </c>
      <c r="D5167" s="223">
        <v>2</v>
      </c>
      <c r="E5167" s="223">
        <v>231919</v>
      </c>
    </row>
    <row r="5168" spans="1:5" ht="15">
      <c r="A5168" s="223" t="s">
        <v>573</v>
      </c>
      <c r="B5168" s="223">
        <v>24</v>
      </c>
      <c r="C5168" s="223">
        <v>31</v>
      </c>
      <c r="D5168" s="223">
        <v>4</v>
      </c>
      <c r="E5168" s="223">
        <v>47503</v>
      </c>
    </row>
    <row r="5169" spans="1:5" ht="15">
      <c r="A5169" s="223" t="s">
        <v>573</v>
      </c>
      <c r="B5169" s="223">
        <v>24</v>
      </c>
      <c r="C5169" s="223">
        <v>31</v>
      </c>
      <c r="D5169" s="223">
        <v>7</v>
      </c>
      <c r="E5169" s="223">
        <v>2500</v>
      </c>
    </row>
    <row r="5170" spans="1:5" ht="15">
      <c r="A5170" s="223" t="s">
        <v>573</v>
      </c>
      <c r="B5170" s="223">
        <v>24</v>
      </c>
      <c r="C5170" s="223">
        <v>31</v>
      </c>
      <c r="D5170" s="223">
        <v>8</v>
      </c>
      <c r="E5170" s="223">
        <v>8262</v>
      </c>
    </row>
    <row r="5171" spans="1:5" ht="15">
      <c r="A5171" s="223" t="s">
        <v>573</v>
      </c>
      <c r="B5171" s="223">
        <v>24</v>
      </c>
      <c r="C5171" s="223">
        <v>32</v>
      </c>
      <c r="D5171" s="223">
        <v>0</v>
      </c>
      <c r="E5171" s="223">
        <v>12017</v>
      </c>
    </row>
    <row r="5172" spans="1:5" ht="15">
      <c r="A5172" s="223" t="s">
        <v>573</v>
      </c>
      <c r="B5172" s="223">
        <v>24</v>
      </c>
      <c r="C5172" s="223">
        <v>32</v>
      </c>
      <c r="D5172" s="223">
        <v>5</v>
      </c>
      <c r="E5172" s="223">
        <v>51</v>
      </c>
    </row>
    <row r="5173" spans="1:5" ht="15">
      <c r="A5173" s="223" t="s">
        <v>573</v>
      </c>
      <c r="B5173" s="223">
        <v>24</v>
      </c>
      <c r="C5173" s="223">
        <v>33</v>
      </c>
      <c r="D5173" s="223">
        <v>5</v>
      </c>
      <c r="E5173" s="223">
        <v>101</v>
      </c>
    </row>
    <row r="5174" spans="1:5" ht="15">
      <c r="A5174" s="223" t="s">
        <v>541</v>
      </c>
      <c r="B5174" s="223">
        <v>21</v>
      </c>
      <c r="C5174" s="223">
        <v>26</v>
      </c>
      <c r="D5174" s="223">
        <v>7</v>
      </c>
      <c r="E5174" s="223">
        <v>10000</v>
      </c>
    </row>
    <row r="5175" spans="1:5" ht="15">
      <c r="A5175" s="223" t="s">
        <v>541</v>
      </c>
      <c r="B5175" s="223">
        <v>21</v>
      </c>
      <c r="C5175" s="223">
        <v>27</v>
      </c>
      <c r="D5175" s="223">
        <v>2</v>
      </c>
      <c r="E5175" s="223">
        <v>97803</v>
      </c>
    </row>
    <row r="5176" spans="1:5" ht="15">
      <c r="A5176" s="223" t="s">
        <v>541</v>
      </c>
      <c r="B5176" s="223">
        <v>21</v>
      </c>
      <c r="C5176" s="223">
        <v>27</v>
      </c>
      <c r="D5176" s="223">
        <v>4</v>
      </c>
      <c r="E5176" s="223">
        <v>41270</v>
      </c>
    </row>
    <row r="5177" spans="1:5" ht="15">
      <c r="A5177" s="223" t="s">
        <v>541</v>
      </c>
      <c r="B5177" s="223">
        <v>21</v>
      </c>
      <c r="C5177" s="223">
        <v>27</v>
      </c>
      <c r="D5177" s="223">
        <v>5</v>
      </c>
      <c r="E5177" s="223">
        <v>600</v>
      </c>
    </row>
    <row r="5178" spans="1:5" ht="15">
      <c r="A5178" s="223" t="s">
        <v>541</v>
      </c>
      <c r="B5178" s="223">
        <v>24</v>
      </c>
      <c r="C5178" s="223">
        <v>26</v>
      </c>
      <c r="D5178" s="223">
        <v>7</v>
      </c>
      <c r="E5178" s="223">
        <v>20473</v>
      </c>
    </row>
    <row r="5179" spans="1:5" ht="15">
      <c r="A5179" s="223" t="s">
        <v>543</v>
      </c>
      <c r="B5179" s="223">
        <v>21</v>
      </c>
      <c r="C5179" s="223">
        <v>27</v>
      </c>
      <c r="D5179" s="223">
        <v>2</v>
      </c>
      <c r="E5179" s="223">
        <v>78784</v>
      </c>
    </row>
    <row r="5180" spans="1:5" ht="15">
      <c r="A5180" s="223" t="s">
        <v>543</v>
      </c>
      <c r="B5180" s="223">
        <v>21</v>
      </c>
      <c r="C5180" s="223">
        <v>27</v>
      </c>
      <c r="D5180" s="223">
        <v>3</v>
      </c>
      <c r="E5180" s="223">
        <v>44096</v>
      </c>
    </row>
    <row r="5181" spans="1:5" ht="15">
      <c r="A5181" s="223" t="s">
        <v>543</v>
      </c>
      <c r="B5181" s="223">
        <v>21</v>
      </c>
      <c r="C5181" s="223">
        <v>27</v>
      </c>
      <c r="D5181" s="223">
        <v>4</v>
      </c>
      <c r="E5181" s="223">
        <v>59406</v>
      </c>
    </row>
    <row r="5182" spans="1:5" ht="15">
      <c r="A5182" s="223" t="s">
        <v>543</v>
      </c>
      <c r="B5182" s="223">
        <v>21</v>
      </c>
      <c r="C5182" s="223">
        <v>27</v>
      </c>
      <c r="D5182" s="223">
        <v>5</v>
      </c>
      <c r="E5182" s="223">
        <v>1000</v>
      </c>
    </row>
    <row r="5183" spans="1:5" ht="15">
      <c r="A5183" s="223" t="s">
        <v>543</v>
      </c>
      <c r="B5183" s="223">
        <v>21</v>
      </c>
      <c r="C5183" s="223">
        <v>27</v>
      </c>
      <c r="D5183" s="223">
        <v>7</v>
      </c>
      <c r="E5183" s="223">
        <v>22500</v>
      </c>
    </row>
    <row r="5184" spans="1:5" ht="15">
      <c r="A5184" s="223" t="s">
        <v>543</v>
      </c>
      <c r="B5184" s="223">
        <v>21</v>
      </c>
      <c r="C5184" s="223">
        <v>27</v>
      </c>
      <c r="D5184" s="223">
        <v>8</v>
      </c>
      <c r="E5184" s="223">
        <v>300</v>
      </c>
    </row>
    <row r="5185" spans="1:5" ht="15">
      <c r="A5185" s="223" t="s">
        <v>543</v>
      </c>
      <c r="B5185" s="223">
        <v>21</v>
      </c>
      <c r="C5185" s="223">
        <v>31</v>
      </c>
      <c r="D5185" s="223">
        <v>2</v>
      </c>
      <c r="E5185" s="223">
        <v>3000</v>
      </c>
    </row>
    <row r="5186" spans="1:5" ht="15">
      <c r="A5186" s="223" t="s">
        <v>543</v>
      </c>
      <c r="B5186" s="223">
        <v>21</v>
      </c>
      <c r="C5186" s="223">
        <v>31</v>
      </c>
      <c r="D5186" s="223">
        <v>4</v>
      </c>
      <c r="E5186" s="223">
        <v>696</v>
      </c>
    </row>
    <row r="5187" spans="1:5" ht="15">
      <c r="A5187" s="223" t="s">
        <v>543</v>
      </c>
      <c r="B5187" s="223">
        <v>24</v>
      </c>
      <c r="C5187" s="223">
        <v>27</v>
      </c>
      <c r="D5187" s="223">
        <v>7</v>
      </c>
      <c r="E5187" s="223">
        <v>50000</v>
      </c>
    </row>
    <row r="5188" spans="1:5" ht="15">
      <c r="A5188" s="223" t="s">
        <v>57</v>
      </c>
      <c r="B5188" s="223">
        <v>21</v>
      </c>
      <c r="C5188" s="223">
        <v>21</v>
      </c>
      <c r="D5188" s="223">
        <v>2</v>
      </c>
      <c r="E5188" s="223">
        <v>372599</v>
      </c>
    </row>
    <row r="5189" spans="1:5" ht="15">
      <c r="A5189" s="223" t="s">
        <v>57</v>
      </c>
      <c r="B5189" s="223">
        <v>21</v>
      </c>
      <c r="C5189" s="223">
        <v>21</v>
      </c>
      <c r="D5189" s="223">
        <v>3</v>
      </c>
      <c r="E5189" s="223">
        <v>366314</v>
      </c>
    </row>
    <row r="5190" spans="1:5" ht="15">
      <c r="A5190" s="223" t="s">
        <v>57</v>
      </c>
      <c r="B5190" s="223">
        <v>21</v>
      </c>
      <c r="C5190" s="223">
        <v>21</v>
      </c>
      <c r="D5190" s="223">
        <v>4</v>
      </c>
      <c r="E5190" s="223">
        <v>241761</v>
      </c>
    </row>
    <row r="5191" spans="1:5" ht="15">
      <c r="A5191" s="223" t="s">
        <v>57</v>
      </c>
      <c r="B5191" s="223">
        <v>21</v>
      </c>
      <c r="C5191" s="223">
        <v>21</v>
      </c>
      <c r="D5191" s="223">
        <v>5</v>
      </c>
      <c r="E5191" s="223">
        <v>5000</v>
      </c>
    </row>
    <row r="5192" spans="1:5" ht="15">
      <c r="A5192" s="223" t="s">
        <v>57</v>
      </c>
      <c r="B5192" s="223">
        <v>21</v>
      </c>
      <c r="C5192" s="223">
        <v>21</v>
      </c>
      <c r="D5192" s="223">
        <v>7</v>
      </c>
      <c r="E5192" s="223">
        <v>3100</v>
      </c>
    </row>
    <row r="5193" spans="1:5" ht="15">
      <c r="A5193" s="223" t="s">
        <v>57</v>
      </c>
      <c r="B5193" s="223">
        <v>21</v>
      </c>
      <c r="C5193" s="223">
        <v>26</v>
      </c>
      <c r="D5193" s="223">
        <v>2</v>
      </c>
      <c r="E5193" s="223">
        <v>1543851</v>
      </c>
    </row>
    <row r="5194" spans="1:5" ht="15">
      <c r="A5194" s="223" t="s">
        <v>57</v>
      </c>
      <c r="B5194" s="223">
        <v>21</v>
      </c>
      <c r="C5194" s="223">
        <v>26</v>
      </c>
      <c r="D5194" s="223">
        <v>3</v>
      </c>
      <c r="E5194" s="223">
        <v>191678</v>
      </c>
    </row>
    <row r="5195" spans="1:5" ht="15">
      <c r="A5195" s="223" t="s">
        <v>57</v>
      </c>
      <c r="B5195" s="223">
        <v>21</v>
      </c>
      <c r="C5195" s="223">
        <v>26</v>
      </c>
      <c r="D5195" s="223">
        <v>4</v>
      </c>
      <c r="E5195" s="223">
        <v>643821</v>
      </c>
    </row>
    <row r="5196" spans="1:5" ht="15">
      <c r="A5196" s="223" t="s">
        <v>57</v>
      </c>
      <c r="B5196" s="223">
        <v>21</v>
      </c>
      <c r="C5196" s="223">
        <v>26</v>
      </c>
      <c r="D5196" s="223">
        <v>5</v>
      </c>
      <c r="E5196" s="223">
        <v>6500</v>
      </c>
    </row>
    <row r="5197" spans="1:5" ht="15">
      <c r="A5197" s="223" t="s">
        <v>57</v>
      </c>
      <c r="B5197" s="223">
        <v>21</v>
      </c>
      <c r="C5197" s="223">
        <v>26</v>
      </c>
      <c r="D5197" s="223">
        <v>7</v>
      </c>
      <c r="E5197" s="223">
        <v>67000</v>
      </c>
    </row>
    <row r="5198" spans="1:5" ht="15">
      <c r="A5198" s="223" t="s">
        <v>57</v>
      </c>
      <c r="B5198" s="223">
        <v>21</v>
      </c>
      <c r="C5198" s="223">
        <v>26</v>
      </c>
      <c r="D5198" s="223">
        <v>8</v>
      </c>
      <c r="E5198" s="223">
        <v>2000</v>
      </c>
    </row>
    <row r="5199" spans="1:5" ht="15">
      <c r="A5199" s="223" t="s">
        <v>57</v>
      </c>
      <c r="B5199" s="223">
        <v>21</v>
      </c>
      <c r="C5199" s="223">
        <v>27</v>
      </c>
      <c r="D5199" s="223">
        <v>2</v>
      </c>
      <c r="E5199" s="223">
        <v>3096082</v>
      </c>
    </row>
    <row r="5200" spans="1:5" ht="15">
      <c r="A5200" s="223" t="s">
        <v>57</v>
      </c>
      <c r="B5200" s="223">
        <v>21</v>
      </c>
      <c r="C5200" s="223">
        <v>27</v>
      </c>
      <c r="D5200" s="223">
        <v>3</v>
      </c>
      <c r="E5200" s="223">
        <v>3830878</v>
      </c>
    </row>
    <row r="5201" spans="1:5" ht="15">
      <c r="A5201" s="223" t="s">
        <v>57</v>
      </c>
      <c r="B5201" s="223">
        <v>21</v>
      </c>
      <c r="C5201" s="223">
        <v>27</v>
      </c>
      <c r="D5201" s="223">
        <v>4</v>
      </c>
      <c r="E5201" s="223">
        <v>3246353</v>
      </c>
    </row>
    <row r="5202" spans="1:5" ht="15">
      <c r="A5202" s="223" t="s">
        <v>57</v>
      </c>
      <c r="B5202" s="223">
        <v>21</v>
      </c>
      <c r="C5202" s="223">
        <v>27</v>
      </c>
      <c r="D5202" s="223">
        <v>5</v>
      </c>
      <c r="E5202" s="223">
        <v>18500</v>
      </c>
    </row>
    <row r="5203" spans="1:5" ht="15">
      <c r="A5203" s="223" t="s">
        <v>57</v>
      </c>
      <c r="B5203" s="223">
        <v>21</v>
      </c>
      <c r="C5203" s="223">
        <v>27</v>
      </c>
      <c r="D5203" s="223">
        <v>7</v>
      </c>
      <c r="E5203" s="223">
        <v>549520</v>
      </c>
    </row>
    <row r="5204" spans="1:5" ht="15">
      <c r="A5204" s="223" t="s">
        <v>57</v>
      </c>
      <c r="B5204" s="223">
        <v>21</v>
      </c>
      <c r="C5204" s="223">
        <v>31</v>
      </c>
      <c r="D5204" s="223">
        <v>2</v>
      </c>
      <c r="E5204" s="223">
        <v>10000</v>
      </c>
    </row>
    <row r="5205" spans="1:5" ht="15">
      <c r="A5205" s="223" t="s">
        <v>57</v>
      </c>
      <c r="B5205" s="223">
        <v>21</v>
      </c>
      <c r="C5205" s="223">
        <v>31</v>
      </c>
      <c r="D5205" s="223">
        <v>4</v>
      </c>
      <c r="E5205" s="223">
        <v>3249</v>
      </c>
    </row>
    <row r="5206" spans="1:5" ht="15">
      <c r="A5206" s="223" t="s">
        <v>57</v>
      </c>
      <c r="B5206" s="223">
        <v>21</v>
      </c>
      <c r="C5206" s="223">
        <v>31</v>
      </c>
      <c r="D5206" s="223">
        <v>7</v>
      </c>
      <c r="E5206" s="223">
        <v>8000</v>
      </c>
    </row>
    <row r="5207" spans="1:5" ht="15">
      <c r="A5207" s="223" t="s">
        <v>57</v>
      </c>
      <c r="B5207" s="223">
        <v>24</v>
      </c>
      <c r="C5207" s="223">
        <v>26</v>
      </c>
      <c r="D5207" s="223">
        <v>2</v>
      </c>
      <c r="E5207" s="223">
        <v>632779</v>
      </c>
    </row>
    <row r="5208" spans="1:5" ht="15">
      <c r="A5208" s="223" t="s">
        <v>57</v>
      </c>
      <c r="B5208" s="223">
        <v>24</v>
      </c>
      <c r="C5208" s="223">
        <v>26</v>
      </c>
      <c r="D5208" s="223">
        <v>4</v>
      </c>
      <c r="E5208" s="223">
        <v>227340</v>
      </c>
    </row>
    <row r="5209" spans="1:5" ht="15">
      <c r="A5209" s="223" t="s">
        <v>57</v>
      </c>
      <c r="B5209" s="223">
        <v>24</v>
      </c>
      <c r="C5209" s="223">
        <v>27</v>
      </c>
      <c r="D5209" s="223">
        <v>3</v>
      </c>
      <c r="E5209" s="223">
        <v>20381</v>
      </c>
    </row>
    <row r="5210" spans="1:5" ht="15">
      <c r="A5210" s="223" t="s">
        <v>57</v>
      </c>
      <c r="B5210" s="223">
        <v>24</v>
      </c>
      <c r="C5210" s="223">
        <v>27</v>
      </c>
      <c r="D5210" s="223">
        <v>4</v>
      </c>
      <c r="E5210" s="223">
        <v>13734</v>
      </c>
    </row>
    <row r="5211" spans="1:5" ht="15">
      <c r="A5211" s="223" t="s">
        <v>57</v>
      </c>
      <c r="B5211" s="223">
        <v>24</v>
      </c>
      <c r="C5211" s="223">
        <v>27</v>
      </c>
      <c r="D5211" s="223">
        <v>7</v>
      </c>
      <c r="E5211" s="223">
        <v>2279</v>
      </c>
    </row>
    <row r="5212" spans="1:5" ht="15">
      <c r="A5212" s="223" t="s">
        <v>59</v>
      </c>
      <c r="B5212" s="223">
        <v>21</v>
      </c>
      <c r="C5212" s="223">
        <v>27</v>
      </c>
      <c r="D5212" s="223">
        <v>7</v>
      </c>
      <c r="E5212" s="223">
        <v>10785</v>
      </c>
    </row>
    <row r="5213" spans="1:5" ht="15">
      <c r="A5213" s="223" t="s">
        <v>61</v>
      </c>
      <c r="B5213" s="223">
        <v>21</v>
      </c>
      <c r="C5213" s="223">
        <v>21</v>
      </c>
      <c r="D5213" s="223">
        <v>2</v>
      </c>
      <c r="E5213" s="223">
        <v>12000</v>
      </c>
    </row>
    <row r="5214" spans="1:5" ht="15">
      <c r="A5214" s="223" t="s">
        <v>61</v>
      </c>
      <c r="B5214" s="223">
        <v>21</v>
      </c>
      <c r="C5214" s="223">
        <v>21</v>
      </c>
      <c r="D5214" s="223">
        <v>4</v>
      </c>
      <c r="E5214" s="223">
        <v>2711</v>
      </c>
    </row>
    <row r="5215" spans="1:5" ht="15">
      <c r="A5215" s="223" t="s">
        <v>61</v>
      </c>
      <c r="B5215" s="223">
        <v>21</v>
      </c>
      <c r="C5215" s="223">
        <v>26</v>
      </c>
      <c r="D5215" s="223">
        <v>7</v>
      </c>
      <c r="E5215" s="223">
        <v>1195</v>
      </c>
    </row>
    <row r="5216" spans="1:5" ht="15">
      <c r="A5216" s="223" t="s">
        <v>61</v>
      </c>
      <c r="B5216" s="223">
        <v>21</v>
      </c>
      <c r="C5216" s="223">
        <v>26</v>
      </c>
      <c r="D5216" s="223">
        <v>8</v>
      </c>
      <c r="E5216" s="223">
        <v>760</v>
      </c>
    </row>
    <row r="5217" spans="1:5" ht="15">
      <c r="A5217" s="223" t="s">
        <v>61</v>
      </c>
      <c r="B5217" s="223">
        <v>21</v>
      </c>
      <c r="C5217" s="223">
        <v>27</v>
      </c>
      <c r="D5217" s="223">
        <v>5</v>
      </c>
      <c r="E5217" s="223">
        <v>2055</v>
      </c>
    </row>
    <row r="5218" spans="1:5" ht="15">
      <c r="A5218" s="223" t="s">
        <v>61</v>
      </c>
      <c r="B5218" s="223">
        <v>21</v>
      </c>
      <c r="C5218" s="223">
        <v>27</v>
      </c>
      <c r="D5218" s="223">
        <v>7</v>
      </c>
      <c r="E5218" s="223">
        <v>799023</v>
      </c>
    </row>
    <row r="5219" spans="1:5" ht="15">
      <c r="A5219" s="223" t="s">
        <v>61</v>
      </c>
      <c r="B5219" s="223">
        <v>24</v>
      </c>
      <c r="C5219" s="223">
        <v>27</v>
      </c>
      <c r="D5219" s="223">
        <v>7</v>
      </c>
      <c r="E5219" s="223">
        <v>8685</v>
      </c>
    </row>
    <row r="5220" spans="1:5" ht="15">
      <c r="A5220" s="223" t="s">
        <v>65</v>
      </c>
      <c r="B5220" s="223">
        <v>21</v>
      </c>
      <c r="C5220" s="223">
        <v>21</v>
      </c>
      <c r="D5220" s="223">
        <v>2</v>
      </c>
      <c r="E5220" s="223">
        <v>296826</v>
      </c>
    </row>
    <row r="5221" spans="1:5" ht="15">
      <c r="A5221" s="223" t="s">
        <v>65</v>
      </c>
      <c r="B5221" s="223">
        <v>21</v>
      </c>
      <c r="C5221" s="223">
        <v>21</v>
      </c>
      <c r="D5221" s="223">
        <v>3</v>
      </c>
      <c r="E5221" s="223">
        <v>62712</v>
      </c>
    </row>
    <row r="5222" spans="1:5" ht="15">
      <c r="A5222" s="223" t="s">
        <v>65</v>
      </c>
      <c r="B5222" s="223">
        <v>21</v>
      </c>
      <c r="C5222" s="223">
        <v>21</v>
      </c>
      <c r="D5222" s="223">
        <v>4</v>
      </c>
      <c r="E5222" s="223">
        <v>120478</v>
      </c>
    </row>
    <row r="5223" spans="1:5" ht="15">
      <c r="A5223" s="223" t="s">
        <v>65</v>
      </c>
      <c r="B5223" s="223">
        <v>21</v>
      </c>
      <c r="C5223" s="223">
        <v>21</v>
      </c>
      <c r="D5223" s="223">
        <v>7</v>
      </c>
      <c r="E5223" s="223">
        <v>7000</v>
      </c>
    </row>
    <row r="5224" spans="1:5" ht="15">
      <c r="A5224" s="223" t="s">
        <v>65</v>
      </c>
      <c r="B5224" s="223">
        <v>21</v>
      </c>
      <c r="C5224" s="223">
        <v>26</v>
      </c>
      <c r="D5224" s="223">
        <v>2</v>
      </c>
      <c r="E5224" s="223">
        <v>1137682</v>
      </c>
    </row>
    <row r="5225" spans="1:5" ht="15">
      <c r="A5225" s="223" t="s">
        <v>65</v>
      </c>
      <c r="B5225" s="223">
        <v>21</v>
      </c>
      <c r="C5225" s="223">
        <v>26</v>
      </c>
      <c r="D5225" s="223">
        <v>3</v>
      </c>
      <c r="E5225" s="223">
        <v>45600</v>
      </c>
    </row>
    <row r="5226" spans="1:5" ht="15">
      <c r="A5226" s="223" t="s">
        <v>65</v>
      </c>
      <c r="B5226" s="223">
        <v>21</v>
      </c>
      <c r="C5226" s="223">
        <v>26</v>
      </c>
      <c r="D5226" s="223">
        <v>4</v>
      </c>
      <c r="E5226" s="223">
        <v>443693</v>
      </c>
    </row>
    <row r="5227" spans="1:5" ht="15">
      <c r="A5227" s="223" t="s">
        <v>65</v>
      </c>
      <c r="B5227" s="223">
        <v>21</v>
      </c>
      <c r="C5227" s="223">
        <v>26</v>
      </c>
      <c r="D5227" s="223">
        <v>7</v>
      </c>
      <c r="E5227" s="223">
        <v>7000</v>
      </c>
    </row>
    <row r="5228" spans="1:5" ht="15">
      <c r="A5228" s="223" t="s">
        <v>65</v>
      </c>
      <c r="B5228" s="223">
        <v>21</v>
      </c>
      <c r="C5228" s="223">
        <v>27</v>
      </c>
      <c r="D5228" s="223">
        <v>2</v>
      </c>
      <c r="E5228" s="223">
        <v>1917489</v>
      </c>
    </row>
    <row r="5229" spans="1:5" ht="15">
      <c r="A5229" s="223" t="s">
        <v>65</v>
      </c>
      <c r="B5229" s="223">
        <v>21</v>
      </c>
      <c r="C5229" s="223">
        <v>27</v>
      </c>
      <c r="D5229" s="223">
        <v>3</v>
      </c>
      <c r="E5229" s="223">
        <v>1033756</v>
      </c>
    </row>
    <row r="5230" spans="1:5" ht="15">
      <c r="A5230" s="223" t="s">
        <v>65</v>
      </c>
      <c r="B5230" s="223">
        <v>21</v>
      </c>
      <c r="C5230" s="223">
        <v>27</v>
      </c>
      <c r="D5230" s="223">
        <v>4</v>
      </c>
      <c r="E5230" s="223">
        <v>1320888</v>
      </c>
    </row>
    <row r="5231" spans="1:5" ht="15">
      <c r="A5231" s="223" t="s">
        <v>65</v>
      </c>
      <c r="B5231" s="223">
        <v>21</v>
      </c>
      <c r="C5231" s="223">
        <v>27</v>
      </c>
      <c r="D5231" s="223">
        <v>5</v>
      </c>
      <c r="E5231" s="223">
        <v>10800</v>
      </c>
    </row>
    <row r="5232" spans="1:5" ht="15">
      <c r="A5232" s="223" t="s">
        <v>65</v>
      </c>
      <c r="B5232" s="223">
        <v>21</v>
      </c>
      <c r="C5232" s="223">
        <v>27</v>
      </c>
      <c r="D5232" s="223">
        <v>7</v>
      </c>
      <c r="E5232" s="223">
        <v>108000</v>
      </c>
    </row>
    <row r="5233" spans="1:5" ht="15">
      <c r="A5233" s="223" t="s">
        <v>65</v>
      </c>
      <c r="B5233" s="223">
        <v>21</v>
      </c>
      <c r="C5233" s="223">
        <v>31</v>
      </c>
      <c r="D5233" s="223">
        <v>7</v>
      </c>
      <c r="E5233" s="223">
        <v>5000</v>
      </c>
    </row>
    <row r="5234" spans="1:5" ht="15">
      <c r="A5234" s="223" t="s">
        <v>65</v>
      </c>
      <c r="B5234" s="223">
        <v>21</v>
      </c>
      <c r="C5234" s="223">
        <v>33</v>
      </c>
      <c r="D5234" s="223">
        <v>5</v>
      </c>
      <c r="E5234" s="223">
        <v>10000</v>
      </c>
    </row>
    <row r="5235" spans="1:5" ht="15">
      <c r="A5235" s="223" t="s">
        <v>65</v>
      </c>
      <c r="B5235" s="223">
        <v>24</v>
      </c>
      <c r="C5235" s="223">
        <v>27</v>
      </c>
      <c r="D5235" s="223">
        <v>2</v>
      </c>
      <c r="E5235" s="223">
        <v>224201</v>
      </c>
    </row>
    <row r="5236" spans="1:5" ht="15">
      <c r="A5236" s="223" t="s">
        <v>65</v>
      </c>
      <c r="B5236" s="223">
        <v>24</v>
      </c>
      <c r="C5236" s="223">
        <v>27</v>
      </c>
      <c r="D5236" s="223">
        <v>3</v>
      </c>
      <c r="E5236" s="223">
        <v>318144</v>
      </c>
    </row>
    <row r="5237" spans="1:5" ht="15">
      <c r="A5237" s="223" t="s">
        <v>65</v>
      </c>
      <c r="B5237" s="223">
        <v>24</v>
      </c>
      <c r="C5237" s="223">
        <v>27</v>
      </c>
      <c r="D5237" s="223">
        <v>4</v>
      </c>
      <c r="E5237" s="223">
        <v>272002</v>
      </c>
    </row>
    <row r="5238" spans="1:5" ht="15">
      <c r="A5238" s="223" t="s">
        <v>65</v>
      </c>
      <c r="B5238" s="223">
        <v>24</v>
      </c>
      <c r="C5238" s="223">
        <v>27</v>
      </c>
      <c r="D5238" s="223">
        <v>5</v>
      </c>
      <c r="E5238" s="223">
        <v>3000</v>
      </c>
    </row>
    <row r="5239" spans="1:5" ht="15">
      <c r="A5239" s="223" t="s">
        <v>65</v>
      </c>
      <c r="B5239" s="223">
        <v>24</v>
      </c>
      <c r="C5239" s="223">
        <v>27</v>
      </c>
      <c r="D5239" s="223">
        <v>7</v>
      </c>
      <c r="E5239" s="223">
        <v>60000</v>
      </c>
    </row>
    <row r="5240" spans="1:5" ht="15">
      <c r="A5240" s="223" t="s">
        <v>65</v>
      </c>
      <c r="B5240" s="223">
        <v>24</v>
      </c>
      <c r="C5240" s="223">
        <v>29</v>
      </c>
      <c r="D5240" s="223">
        <v>7</v>
      </c>
      <c r="E5240" s="223">
        <v>56000</v>
      </c>
    </row>
    <row r="5241" spans="1:5" ht="15">
      <c r="A5241" s="223" t="s">
        <v>66</v>
      </c>
      <c r="B5241" s="223">
        <v>21</v>
      </c>
      <c r="C5241" s="223">
        <v>21</v>
      </c>
      <c r="D5241" s="223">
        <v>2</v>
      </c>
      <c r="E5241" s="223">
        <v>2192</v>
      </c>
    </row>
    <row r="5242" spans="1:5" ht="15">
      <c r="A5242" s="223" t="s">
        <v>66</v>
      </c>
      <c r="B5242" s="223">
        <v>21</v>
      </c>
      <c r="C5242" s="223">
        <v>21</v>
      </c>
      <c r="D5242" s="223">
        <v>4</v>
      </c>
      <c r="E5242" s="223">
        <v>494</v>
      </c>
    </row>
    <row r="5243" spans="1:5" ht="15">
      <c r="A5243" s="223" t="s">
        <v>66</v>
      </c>
      <c r="B5243" s="223">
        <v>21</v>
      </c>
      <c r="C5243" s="223">
        <v>26</v>
      </c>
      <c r="D5243" s="223">
        <v>7</v>
      </c>
      <c r="E5243" s="223">
        <v>25000</v>
      </c>
    </row>
    <row r="5244" spans="1:5" ht="15">
      <c r="A5244" s="223" t="s">
        <v>66</v>
      </c>
      <c r="B5244" s="223">
        <v>21</v>
      </c>
      <c r="C5244" s="223">
        <v>27</v>
      </c>
      <c r="D5244" s="223">
        <v>2</v>
      </c>
      <c r="E5244" s="223">
        <v>21339</v>
      </c>
    </row>
    <row r="5245" spans="1:5" ht="15">
      <c r="A5245" s="223" t="s">
        <v>66</v>
      </c>
      <c r="B5245" s="223">
        <v>21</v>
      </c>
      <c r="C5245" s="223">
        <v>27</v>
      </c>
      <c r="D5245" s="223">
        <v>4</v>
      </c>
      <c r="E5245" s="223">
        <v>9067</v>
      </c>
    </row>
    <row r="5246" spans="1:5" ht="15">
      <c r="A5246" s="223" t="s">
        <v>66</v>
      </c>
      <c r="B5246" s="223">
        <v>24</v>
      </c>
      <c r="C5246" s="223">
        <v>26</v>
      </c>
      <c r="D5246" s="223">
        <v>7</v>
      </c>
      <c r="E5246" s="223">
        <v>11000</v>
      </c>
    </row>
    <row r="5247" spans="1:5" ht="15">
      <c r="A5247" s="223" t="s">
        <v>5</v>
      </c>
      <c r="B5247" s="223">
        <v>21</v>
      </c>
      <c r="C5247" s="223">
        <v>27</v>
      </c>
      <c r="D5247" s="223">
        <v>7</v>
      </c>
      <c r="E5247" s="223">
        <v>1300000</v>
      </c>
    </row>
    <row r="5248" spans="1:5" ht="15">
      <c r="A5248" s="223" t="s">
        <v>7</v>
      </c>
      <c r="B5248" s="223">
        <v>21</v>
      </c>
      <c r="C5248" s="223">
        <v>21</v>
      </c>
      <c r="D5248" s="223">
        <v>2</v>
      </c>
      <c r="E5248" s="223">
        <v>167735</v>
      </c>
    </row>
    <row r="5249" spans="1:5" ht="15">
      <c r="A5249" s="223" t="s">
        <v>7</v>
      </c>
      <c r="B5249" s="223">
        <v>21</v>
      </c>
      <c r="C5249" s="223">
        <v>21</v>
      </c>
      <c r="D5249" s="223">
        <v>4</v>
      </c>
      <c r="E5249" s="223">
        <v>47963</v>
      </c>
    </row>
    <row r="5250" spans="1:5" ht="15">
      <c r="A5250" s="223" t="s">
        <v>7</v>
      </c>
      <c r="B5250" s="223">
        <v>21</v>
      </c>
      <c r="C5250" s="223">
        <v>21</v>
      </c>
      <c r="D5250" s="223">
        <v>5</v>
      </c>
      <c r="E5250" s="223">
        <v>250</v>
      </c>
    </row>
    <row r="5251" spans="1:5" ht="15">
      <c r="A5251" s="223" t="s">
        <v>7</v>
      </c>
      <c r="B5251" s="223">
        <v>21</v>
      </c>
      <c r="C5251" s="223">
        <v>21</v>
      </c>
      <c r="D5251" s="223">
        <v>7</v>
      </c>
      <c r="E5251" s="223">
        <v>2000</v>
      </c>
    </row>
    <row r="5252" spans="1:5" ht="15">
      <c r="A5252" s="223" t="s">
        <v>7</v>
      </c>
      <c r="B5252" s="223">
        <v>21</v>
      </c>
      <c r="C5252" s="223">
        <v>24</v>
      </c>
      <c r="D5252" s="223">
        <v>5</v>
      </c>
      <c r="E5252" s="223">
        <v>2500</v>
      </c>
    </row>
    <row r="5253" spans="1:5" ht="15">
      <c r="A5253" s="223" t="s">
        <v>7</v>
      </c>
      <c r="B5253" s="223">
        <v>21</v>
      </c>
      <c r="C5253" s="223">
        <v>26</v>
      </c>
      <c r="D5253" s="223">
        <v>2</v>
      </c>
      <c r="E5253" s="223">
        <v>214413</v>
      </c>
    </row>
    <row r="5254" spans="1:5" ht="15">
      <c r="A5254" s="223" t="s">
        <v>7</v>
      </c>
      <c r="B5254" s="223">
        <v>21</v>
      </c>
      <c r="C5254" s="223">
        <v>26</v>
      </c>
      <c r="D5254" s="223">
        <v>4</v>
      </c>
      <c r="E5254" s="223">
        <v>73726</v>
      </c>
    </row>
    <row r="5255" spans="1:5" ht="15">
      <c r="A5255" s="223" t="s">
        <v>7</v>
      </c>
      <c r="B5255" s="223">
        <v>21</v>
      </c>
      <c r="C5255" s="223">
        <v>27</v>
      </c>
      <c r="D5255" s="223">
        <v>2</v>
      </c>
      <c r="E5255" s="223">
        <v>1313311</v>
      </c>
    </row>
    <row r="5256" spans="1:5" ht="15">
      <c r="A5256" s="223" t="s">
        <v>7</v>
      </c>
      <c r="B5256" s="223">
        <v>21</v>
      </c>
      <c r="C5256" s="223">
        <v>27</v>
      </c>
      <c r="D5256" s="223">
        <v>3</v>
      </c>
      <c r="E5256" s="223">
        <v>807572</v>
      </c>
    </row>
    <row r="5257" spans="1:5" ht="15">
      <c r="A5257" s="223" t="s">
        <v>7</v>
      </c>
      <c r="B5257" s="223">
        <v>21</v>
      </c>
      <c r="C5257" s="223">
        <v>27</v>
      </c>
      <c r="D5257" s="223">
        <v>4</v>
      </c>
      <c r="E5257" s="223">
        <v>965952</v>
      </c>
    </row>
    <row r="5258" spans="1:5" ht="15">
      <c r="A5258" s="223" t="s">
        <v>7</v>
      </c>
      <c r="B5258" s="223">
        <v>21</v>
      </c>
      <c r="C5258" s="223">
        <v>27</v>
      </c>
      <c r="D5258" s="223">
        <v>5</v>
      </c>
      <c r="E5258" s="223">
        <v>100</v>
      </c>
    </row>
    <row r="5259" spans="1:5" ht="15">
      <c r="A5259" s="223" t="s">
        <v>7</v>
      </c>
      <c r="B5259" s="223">
        <v>21</v>
      </c>
      <c r="C5259" s="223">
        <v>27</v>
      </c>
      <c r="D5259" s="223">
        <v>7</v>
      </c>
      <c r="E5259" s="223">
        <v>1101750</v>
      </c>
    </row>
    <row r="5260" spans="1:5" ht="15">
      <c r="A5260" s="223" t="s">
        <v>7</v>
      </c>
      <c r="B5260" s="223">
        <v>24</v>
      </c>
      <c r="C5260" s="223">
        <v>27</v>
      </c>
      <c r="D5260" s="223">
        <v>2</v>
      </c>
      <c r="E5260" s="223">
        <v>16206</v>
      </c>
    </row>
    <row r="5261" spans="1:5" ht="15">
      <c r="A5261" s="223" t="s">
        <v>7</v>
      </c>
      <c r="B5261" s="223">
        <v>24</v>
      </c>
      <c r="C5261" s="223">
        <v>27</v>
      </c>
      <c r="D5261" s="223">
        <v>3</v>
      </c>
      <c r="E5261" s="223">
        <v>90361</v>
      </c>
    </row>
    <row r="5262" spans="1:5" ht="15">
      <c r="A5262" s="223" t="s">
        <v>7</v>
      </c>
      <c r="B5262" s="223">
        <v>24</v>
      </c>
      <c r="C5262" s="223">
        <v>27</v>
      </c>
      <c r="D5262" s="223">
        <v>4</v>
      </c>
      <c r="E5262" s="223">
        <v>62898</v>
      </c>
    </row>
    <row r="5263" spans="1:5" ht="15">
      <c r="A5263" s="223" t="s">
        <v>7</v>
      </c>
      <c r="B5263" s="223">
        <v>24</v>
      </c>
      <c r="C5263" s="223">
        <v>27</v>
      </c>
      <c r="D5263" s="223">
        <v>7</v>
      </c>
      <c r="E5263" s="223">
        <v>289877</v>
      </c>
    </row>
    <row r="5264" spans="1:5" ht="15">
      <c r="A5264" s="223" t="s">
        <v>954</v>
      </c>
      <c r="B5264" s="223">
        <v>21</v>
      </c>
      <c r="C5264" s="223">
        <v>23</v>
      </c>
      <c r="D5264" s="223">
        <v>2</v>
      </c>
      <c r="E5264" s="223">
        <v>79808</v>
      </c>
    </row>
    <row r="5265" spans="1:5" ht="15">
      <c r="A5265" s="223" t="s">
        <v>954</v>
      </c>
      <c r="B5265" s="223">
        <v>21</v>
      </c>
      <c r="C5265" s="223">
        <v>23</v>
      </c>
      <c r="D5265" s="223">
        <v>4</v>
      </c>
      <c r="E5265" s="223">
        <v>25514</v>
      </c>
    </row>
    <row r="5266" spans="1:5" ht="15">
      <c r="A5266" s="223" t="s">
        <v>954</v>
      </c>
      <c r="B5266" s="223">
        <v>21</v>
      </c>
      <c r="C5266" s="223">
        <v>27</v>
      </c>
      <c r="D5266" s="223">
        <v>2</v>
      </c>
      <c r="E5266" s="223">
        <v>203463</v>
      </c>
    </row>
    <row r="5267" spans="1:5" ht="15">
      <c r="A5267" s="223" t="s">
        <v>954</v>
      </c>
      <c r="B5267" s="223">
        <v>21</v>
      </c>
      <c r="C5267" s="223">
        <v>27</v>
      </c>
      <c r="D5267" s="223">
        <v>3</v>
      </c>
      <c r="E5267" s="223">
        <v>49121</v>
      </c>
    </row>
    <row r="5268" spans="1:5" ht="15">
      <c r="A5268" s="223" t="s">
        <v>954</v>
      </c>
      <c r="B5268" s="223">
        <v>21</v>
      </c>
      <c r="C5268" s="223">
        <v>27</v>
      </c>
      <c r="D5268" s="223">
        <v>4</v>
      </c>
      <c r="E5268" s="223">
        <v>74084</v>
      </c>
    </row>
    <row r="5269" spans="1:5" ht="15">
      <c r="A5269" s="223" t="s">
        <v>954</v>
      </c>
      <c r="B5269" s="223">
        <v>21</v>
      </c>
      <c r="C5269" s="223">
        <v>27</v>
      </c>
      <c r="D5269" s="223">
        <v>7</v>
      </c>
      <c r="E5269" s="223">
        <v>675727</v>
      </c>
    </row>
    <row r="5270" spans="1:5" ht="15">
      <c r="A5270" s="223" t="s">
        <v>954</v>
      </c>
      <c r="B5270" s="223">
        <v>24</v>
      </c>
      <c r="C5270" s="223">
        <v>27</v>
      </c>
      <c r="D5270" s="223">
        <v>2</v>
      </c>
      <c r="E5270" s="223">
        <v>153822</v>
      </c>
    </row>
    <row r="5271" spans="1:5" ht="15">
      <c r="A5271" s="223" t="s">
        <v>954</v>
      </c>
      <c r="B5271" s="223">
        <v>24</v>
      </c>
      <c r="C5271" s="223">
        <v>27</v>
      </c>
      <c r="D5271" s="223">
        <v>4</v>
      </c>
      <c r="E5271" s="223">
        <v>55013</v>
      </c>
    </row>
    <row r="5272" spans="1:5" ht="15">
      <c r="A5272" s="223" t="s">
        <v>934</v>
      </c>
      <c r="B5272" s="223">
        <v>21</v>
      </c>
      <c r="C5272" s="223">
        <v>23</v>
      </c>
      <c r="D5272" s="223">
        <v>2</v>
      </c>
      <c r="E5272" s="223">
        <v>39904</v>
      </c>
    </row>
    <row r="5273" spans="1:5" ht="15">
      <c r="A5273" s="223" t="s">
        <v>934</v>
      </c>
      <c r="B5273" s="223">
        <v>21</v>
      </c>
      <c r="C5273" s="223">
        <v>23</v>
      </c>
      <c r="D5273" s="223">
        <v>4</v>
      </c>
      <c r="E5273" s="223">
        <v>12757</v>
      </c>
    </row>
    <row r="5274" spans="1:5" ht="15">
      <c r="A5274" s="223" t="s">
        <v>934</v>
      </c>
      <c r="B5274" s="223">
        <v>21</v>
      </c>
      <c r="C5274" s="223">
        <v>27</v>
      </c>
      <c r="D5274" s="223">
        <v>2</v>
      </c>
      <c r="E5274" s="223">
        <v>134762</v>
      </c>
    </row>
    <row r="5275" spans="1:5" ht="15">
      <c r="A5275" s="223" t="s">
        <v>934</v>
      </c>
      <c r="B5275" s="223">
        <v>21</v>
      </c>
      <c r="C5275" s="223">
        <v>27</v>
      </c>
      <c r="D5275" s="223">
        <v>3</v>
      </c>
      <c r="E5275" s="223">
        <v>42429</v>
      </c>
    </row>
    <row r="5276" spans="1:5" ht="15">
      <c r="A5276" s="223" t="s">
        <v>934</v>
      </c>
      <c r="B5276" s="223">
        <v>21</v>
      </c>
      <c r="C5276" s="223">
        <v>27</v>
      </c>
      <c r="D5276" s="223">
        <v>4</v>
      </c>
      <c r="E5276" s="223">
        <v>56335</v>
      </c>
    </row>
    <row r="5277" spans="1:5" ht="15">
      <c r="A5277" s="223" t="s">
        <v>934</v>
      </c>
      <c r="B5277" s="223">
        <v>21</v>
      </c>
      <c r="C5277" s="223">
        <v>27</v>
      </c>
      <c r="D5277" s="223">
        <v>7</v>
      </c>
      <c r="E5277" s="223">
        <v>151016</v>
      </c>
    </row>
    <row r="5278" spans="1:5" ht="15">
      <c r="A5278" s="223" t="s">
        <v>934</v>
      </c>
      <c r="B5278" s="223">
        <v>24</v>
      </c>
      <c r="C5278" s="223">
        <v>27</v>
      </c>
      <c r="D5278" s="223">
        <v>2</v>
      </c>
      <c r="E5278" s="223">
        <v>30238</v>
      </c>
    </row>
    <row r="5279" spans="1:5" ht="15">
      <c r="A5279" s="223" t="s">
        <v>934</v>
      </c>
      <c r="B5279" s="223">
        <v>24</v>
      </c>
      <c r="C5279" s="223">
        <v>27</v>
      </c>
      <c r="D5279" s="223">
        <v>4</v>
      </c>
      <c r="E5279" s="223">
        <v>11103</v>
      </c>
    </row>
    <row r="5280" spans="1:5" ht="15">
      <c r="A5280" s="223" t="s">
        <v>933</v>
      </c>
      <c r="B5280" s="223">
        <v>21</v>
      </c>
      <c r="C5280" s="223">
        <v>23</v>
      </c>
      <c r="D5280" s="223">
        <v>2</v>
      </c>
      <c r="E5280" s="223">
        <v>39904</v>
      </c>
    </row>
    <row r="5281" spans="1:5" ht="15">
      <c r="A5281" s="223" t="s">
        <v>933</v>
      </c>
      <c r="B5281" s="223">
        <v>21</v>
      </c>
      <c r="C5281" s="223">
        <v>23</v>
      </c>
      <c r="D5281" s="223">
        <v>4</v>
      </c>
      <c r="E5281" s="223">
        <v>12757</v>
      </c>
    </row>
    <row r="5282" spans="1:5" ht="15">
      <c r="A5282" s="223" t="s">
        <v>933</v>
      </c>
      <c r="B5282" s="223">
        <v>21</v>
      </c>
      <c r="C5282" s="223">
        <v>27</v>
      </c>
      <c r="D5282" s="223">
        <v>2</v>
      </c>
      <c r="E5282" s="223">
        <v>171042</v>
      </c>
    </row>
    <row r="5283" spans="1:5" ht="15">
      <c r="A5283" s="223" t="s">
        <v>933</v>
      </c>
      <c r="B5283" s="223">
        <v>21</v>
      </c>
      <c r="C5283" s="223">
        <v>27</v>
      </c>
      <c r="D5283" s="223">
        <v>3</v>
      </c>
      <c r="E5283" s="223">
        <v>3296</v>
      </c>
    </row>
    <row r="5284" spans="1:5" ht="15">
      <c r="A5284" s="223" t="s">
        <v>933</v>
      </c>
      <c r="B5284" s="223">
        <v>21</v>
      </c>
      <c r="C5284" s="223">
        <v>27</v>
      </c>
      <c r="D5284" s="223">
        <v>4</v>
      </c>
      <c r="E5284" s="223">
        <v>66347</v>
      </c>
    </row>
    <row r="5285" spans="1:5" ht="15">
      <c r="A5285" s="223" t="s">
        <v>933</v>
      </c>
      <c r="B5285" s="223">
        <v>21</v>
      </c>
      <c r="C5285" s="223">
        <v>27</v>
      </c>
      <c r="D5285" s="223">
        <v>7</v>
      </c>
      <c r="E5285" s="223">
        <v>459322</v>
      </c>
    </row>
    <row r="5286" spans="1:5" ht="15">
      <c r="A5286" s="223" t="s">
        <v>933</v>
      </c>
      <c r="B5286" s="223">
        <v>24</v>
      </c>
      <c r="C5286" s="223">
        <v>27</v>
      </c>
      <c r="D5286" s="223">
        <v>2</v>
      </c>
      <c r="E5286" s="223">
        <v>38182</v>
      </c>
    </row>
    <row r="5287" spans="1:5" ht="15">
      <c r="A5287" s="223" t="s">
        <v>933</v>
      </c>
      <c r="B5287" s="223">
        <v>24</v>
      </c>
      <c r="C5287" s="223">
        <v>27</v>
      </c>
      <c r="D5287" s="223">
        <v>4</v>
      </c>
      <c r="E5287" s="223">
        <v>14893</v>
      </c>
    </row>
    <row r="5288" spans="1:5" ht="15">
      <c r="A5288" s="223" t="s">
        <v>9</v>
      </c>
      <c r="B5288" s="223">
        <v>21</v>
      </c>
      <c r="C5288" s="223">
        <v>21</v>
      </c>
      <c r="D5288" s="223">
        <v>2</v>
      </c>
      <c r="E5288" s="223">
        <v>16900</v>
      </c>
    </row>
    <row r="5289" spans="1:5" ht="15">
      <c r="A5289" s="223" t="s">
        <v>9</v>
      </c>
      <c r="B5289" s="223">
        <v>21</v>
      </c>
      <c r="C5289" s="223">
        <v>21</v>
      </c>
      <c r="D5289" s="223">
        <v>4</v>
      </c>
      <c r="E5289" s="223">
        <v>5198</v>
      </c>
    </row>
    <row r="5290" spans="1:5" ht="15">
      <c r="A5290" s="223" t="s">
        <v>9</v>
      </c>
      <c r="B5290" s="223">
        <v>21</v>
      </c>
      <c r="C5290" s="223">
        <v>26</v>
      </c>
      <c r="D5290" s="223">
        <v>7</v>
      </c>
      <c r="E5290" s="223">
        <v>12000</v>
      </c>
    </row>
    <row r="5291" spans="1:5" ht="15">
      <c r="A5291" s="223" t="s">
        <v>9</v>
      </c>
      <c r="B5291" s="223">
        <v>21</v>
      </c>
      <c r="C5291" s="223">
        <v>27</v>
      </c>
      <c r="D5291" s="223">
        <v>2</v>
      </c>
      <c r="E5291" s="223">
        <v>10327</v>
      </c>
    </row>
    <row r="5292" spans="1:5" ht="15">
      <c r="A5292" s="223" t="s">
        <v>9</v>
      </c>
      <c r="B5292" s="223">
        <v>21</v>
      </c>
      <c r="C5292" s="223">
        <v>27</v>
      </c>
      <c r="D5292" s="223">
        <v>3</v>
      </c>
      <c r="E5292" s="223">
        <v>23471</v>
      </c>
    </row>
    <row r="5293" spans="1:5" ht="15">
      <c r="A5293" s="223" t="s">
        <v>9</v>
      </c>
      <c r="B5293" s="223">
        <v>21</v>
      </c>
      <c r="C5293" s="223">
        <v>27</v>
      </c>
      <c r="D5293" s="223">
        <v>4</v>
      </c>
      <c r="E5293" s="223">
        <v>22245</v>
      </c>
    </row>
    <row r="5294" spans="1:5" ht="15">
      <c r="A5294" s="223" t="s">
        <v>9</v>
      </c>
      <c r="B5294" s="223">
        <v>21</v>
      </c>
      <c r="C5294" s="223">
        <v>27</v>
      </c>
      <c r="D5294" s="223">
        <v>5</v>
      </c>
      <c r="E5294" s="223">
        <v>500</v>
      </c>
    </row>
    <row r="5295" spans="1:5" ht="15">
      <c r="A5295" s="223" t="s">
        <v>9</v>
      </c>
      <c r="B5295" s="223">
        <v>21</v>
      </c>
      <c r="C5295" s="223">
        <v>27</v>
      </c>
      <c r="D5295" s="223">
        <v>7</v>
      </c>
      <c r="E5295" s="223">
        <v>1250</v>
      </c>
    </row>
    <row r="5296" spans="1:5" ht="15">
      <c r="A5296" s="223" t="s">
        <v>9</v>
      </c>
      <c r="B5296" s="223">
        <v>21</v>
      </c>
      <c r="C5296" s="223">
        <v>31</v>
      </c>
      <c r="D5296" s="223">
        <v>8</v>
      </c>
      <c r="E5296" s="223">
        <v>150</v>
      </c>
    </row>
    <row r="5297" spans="1:5" ht="15">
      <c r="A5297" s="223" t="s">
        <v>9</v>
      </c>
      <c r="B5297" s="223">
        <v>21</v>
      </c>
      <c r="C5297" s="223">
        <v>33</v>
      </c>
      <c r="D5297" s="223">
        <v>5</v>
      </c>
      <c r="E5297" s="223">
        <v>300</v>
      </c>
    </row>
    <row r="5298" spans="1:5" ht="15">
      <c r="A5298" s="223" t="s">
        <v>9</v>
      </c>
      <c r="B5298" s="223">
        <v>24</v>
      </c>
      <c r="C5298" s="223">
        <v>26</v>
      </c>
      <c r="D5298" s="223">
        <v>7</v>
      </c>
      <c r="E5298" s="223">
        <v>17197</v>
      </c>
    </row>
    <row r="5299" spans="1:5" ht="15">
      <c r="A5299" s="223" t="s">
        <v>246</v>
      </c>
      <c r="B5299" s="223">
        <v>21</v>
      </c>
      <c r="C5299" s="223">
        <v>21</v>
      </c>
      <c r="D5299" s="223">
        <v>2</v>
      </c>
      <c r="E5299" s="223">
        <v>555778</v>
      </c>
    </row>
    <row r="5300" spans="1:5" ht="15">
      <c r="A5300" s="223" t="s">
        <v>246</v>
      </c>
      <c r="B5300" s="223">
        <v>21</v>
      </c>
      <c r="C5300" s="223">
        <v>21</v>
      </c>
      <c r="D5300" s="223">
        <v>3</v>
      </c>
      <c r="E5300" s="223">
        <v>117959</v>
      </c>
    </row>
    <row r="5301" spans="1:5" ht="15">
      <c r="A5301" s="223" t="s">
        <v>246</v>
      </c>
      <c r="B5301" s="223">
        <v>21</v>
      </c>
      <c r="C5301" s="223">
        <v>21</v>
      </c>
      <c r="D5301" s="223">
        <v>4</v>
      </c>
      <c r="E5301" s="223">
        <v>210447</v>
      </c>
    </row>
    <row r="5302" spans="1:5" ht="15">
      <c r="A5302" s="223" t="s">
        <v>246</v>
      </c>
      <c r="B5302" s="223">
        <v>21</v>
      </c>
      <c r="C5302" s="223">
        <v>21</v>
      </c>
      <c r="D5302" s="223">
        <v>5</v>
      </c>
      <c r="E5302" s="223">
        <v>1000</v>
      </c>
    </row>
    <row r="5303" spans="1:5" ht="15">
      <c r="A5303" s="223" t="s">
        <v>246</v>
      </c>
      <c r="B5303" s="223">
        <v>21</v>
      </c>
      <c r="C5303" s="223">
        <v>21</v>
      </c>
      <c r="D5303" s="223">
        <v>7</v>
      </c>
      <c r="E5303" s="223">
        <v>100</v>
      </c>
    </row>
    <row r="5304" spans="1:5" ht="15">
      <c r="A5304" s="223" t="s">
        <v>246</v>
      </c>
      <c r="B5304" s="223">
        <v>21</v>
      </c>
      <c r="C5304" s="223">
        <v>21</v>
      </c>
      <c r="D5304" s="223">
        <v>8</v>
      </c>
      <c r="E5304" s="223">
        <v>7200</v>
      </c>
    </row>
    <row r="5305" spans="1:5" ht="15">
      <c r="A5305" s="223" t="s">
        <v>246</v>
      </c>
      <c r="B5305" s="223">
        <v>21</v>
      </c>
      <c r="C5305" s="223">
        <v>24</v>
      </c>
      <c r="D5305" s="223">
        <v>2</v>
      </c>
      <c r="E5305" s="223">
        <v>933921</v>
      </c>
    </row>
    <row r="5306" spans="1:5" ht="15">
      <c r="A5306" s="223" t="s">
        <v>246</v>
      </c>
      <c r="B5306" s="223">
        <v>21</v>
      </c>
      <c r="C5306" s="223">
        <v>24</v>
      </c>
      <c r="D5306" s="223">
        <v>4</v>
      </c>
      <c r="E5306" s="223">
        <v>374610</v>
      </c>
    </row>
    <row r="5307" spans="1:5" ht="15">
      <c r="A5307" s="223" t="s">
        <v>246</v>
      </c>
      <c r="B5307" s="223">
        <v>21</v>
      </c>
      <c r="C5307" s="223">
        <v>24</v>
      </c>
      <c r="D5307" s="223">
        <v>7</v>
      </c>
      <c r="E5307" s="223">
        <v>150</v>
      </c>
    </row>
    <row r="5308" spans="1:5" ht="15">
      <c r="A5308" s="223" t="s">
        <v>246</v>
      </c>
      <c r="B5308" s="223">
        <v>21</v>
      </c>
      <c r="C5308" s="223">
        <v>26</v>
      </c>
      <c r="D5308" s="223">
        <v>2</v>
      </c>
      <c r="E5308" s="223">
        <v>3525784</v>
      </c>
    </row>
    <row r="5309" spans="1:5" ht="15">
      <c r="A5309" s="223" t="s">
        <v>246</v>
      </c>
      <c r="B5309" s="223">
        <v>21</v>
      </c>
      <c r="C5309" s="223">
        <v>26</v>
      </c>
      <c r="D5309" s="223">
        <v>3</v>
      </c>
      <c r="E5309" s="223">
        <v>123061</v>
      </c>
    </row>
    <row r="5310" spans="1:5" ht="15">
      <c r="A5310" s="223" t="s">
        <v>246</v>
      </c>
      <c r="B5310" s="223">
        <v>21</v>
      </c>
      <c r="C5310" s="223">
        <v>26</v>
      </c>
      <c r="D5310" s="223">
        <v>4</v>
      </c>
      <c r="E5310" s="223">
        <v>1330801</v>
      </c>
    </row>
    <row r="5311" spans="1:5" ht="15">
      <c r="A5311" s="223" t="s">
        <v>246</v>
      </c>
      <c r="B5311" s="223">
        <v>21</v>
      </c>
      <c r="C5311" s="223">
        <v>26</v>
      </c>
      <c r="D5311" s="223">
        <v>5</v>
      </c>
      <c r="E5311" s="223">
        <v>23000</v>
      </c>
    </row>
    <row r="5312" spans="1:5" ht="15">
      <c r="A5312" s="223" t="s">
        <v>246</v>
      </c>
      <c r="B5312" s="223">
        <v>21</v>
      </c>
      <c r="C5312" s="223">
        <v>26</v>
      </c>
      <c r="D5312" s="223">
        <v>7</v>
      </c>
      <c r="E5312" s="223">
        <v>310195</v>
      </c>
    </row>
    <row r="5313" spans="1:5" ht="15">
      <c r="A5313" s="223" t="s">
        <v>246</v>
      </c>
      <c r="B5313" s="223">
        <v>21</v>
      </c>
      <c r="C5313" s="223">
        <v>26</v>
      </c>
      <c r="D5313" s="223">
        <v>8</v>
      </c>
      <c r="E5313" s="223">
        <v>5050</v>
      </c>
    </row>
    <row r="5314" spans="1:5" ht="15">
      <c r="A5314" s="223" t="s">
        <v>246</v>
      </c>
      <c r="B5314" s="223">
        <v>21</v>
      </c>
      <c r="C5314" s="223">
        <v>27</v>
      </c>
      <c r="D5314" s="223">
        <v>0</v>
      </c>
      <c r="E5314" s="223">
        <v>11500</v>
      </c>
    </row>
    <row r="5315" spans="1:5" ht="15">
      <c r="A5315" s="223" t="s">
        <v>246</v>
      </c>
      <c r="B5315" s="223">
        <v>21</v>
      </c>
      <c r="C5315" s="223">
        <v>27</v>
      </c>
      <c r="D5315" s="223">
        <v>2</v>
      </c>
      <c r="E5315" s="223">
        <v>4852203</v>
      </c>
    </row>
    <row r="5316" spans="1:5" ht="15">
      <c r="A5316" s="223" t="s">
        <v>246</v>
      </c>
      <c r="B5316" s="223">
        <v>21</v>
      </c>
      <c r="C5316" s="223">
        <v>27</v>
      </c>
      <c r="D5316" s="223">
        <v>3</v>
      </c>
      <c r="E5316" s="223">
        <v>4140325</v>
      </c>
    </row>
    <row r="5317" spans="1:5" ht="15">
      <c r="A5317" s="223" t="s">
        <v>246</v>
      </c>
      <c r="B5317" s="223">
        <v>21</v>
      </c>
      <c r="C5317" s="223">
        <v>27</v>
      </c>
      <c r="D5317" s="223">
        <v>4</v>
      </c>
      <c r="E5317" s="223">
        <v>4436444</v>
      </c>
    </row>
    <row r="5318" spans="1:5" ht="15">
      <c r="A5318" s="223" t="s">
        <v>246</v>
      </c>
      <c r="B5318" s="223">
        <v>21</v>
      </c>
      <c r="C5318" s="223">
        <v>27</v>
      </c>
      <c r="D5318" s="223">
        <v>5</v>
      </c>
      <c r="E5318" s="223">
        <v>29750</v>
      </c>
    </row>
    <row r="5319" spans="1:5" ht="15">
      <c r="A5319" s="223" t="s">
        <v>246</v>
      </c>
      <c r="B5319" s="223">
        <v>21</v>
      </c>
      <c r="C5319" s="223">
        <v>27</v>
      </c>
      <c r="D5319" s="223">
        <v>7</v>
      </c>
      <c r="E5319" s="223">
        <v>185605</v>
      </c>
    </row>
    <row r="5320" spans="1:5" ht="15">
      <c r="A5320" s="223" t="s">
        <v>246</v>
      </c>
      <c r="B5320" s="223">
        <v>21</v>
      </c>
      <c r="C5320" s="223">
        <v>27</v>
      </c>
      <c r="D5320" s="223">
        <v>8</v>
      </c>
      <c r="E5320" s="223">
        <v>2400</v>
      </c>
    </row>
    <row r="5321" spans="1:5" ht="15">
      <c r="A5321" s="223" t="s">
        <v>246</v>
      </c>
      <c r="B5321" s="223">
        <v>21</v>
      </c>
      <c r="C5321" s="223">
        <v>29</v>
      </c>
      <c r="D5321" s="223">
        <v>7</v>
      </c>
      <c r="E5321" s="223">
        <v>160000</v>
      </c>
    </row>
    <row r="5322" spans="1:5" ht="15">
      <c r="A5322" s="223" t="s">
        <v>246</v>
      </c>
      <c r="B5322" s="223">
        <v>21</v>
      </c>
      <c r="C5322" s="223">
        <v>31</v>
      </c>
      <c r="D5322" s="223">
        <v>2</v>
      </c>
      <c r="E5322" s="223">
        <v>90350</v>
      </c>
    </row>
    <row r="5323" spans="1:5" ht="15">
      <c r="A5323" s="223" t="s">
        <v>246</v>
      </c>
      <c r="B5323" s="223">
        <v>21</v>
      </c>
      <c r="C5323" s="223">
        <v>31</v>
      </c>
      <c r="D5323" s="223">
        <v>3</v>
      </c>
      <c r="E5323" s="223">
        <v>40540</v>
      </c>
    </row>
    <row r="5324" spans="1:5" ht="15">
      <c r="A5324" s="223" t="s">
        <v>246</v>
      </c>
      <c r="B5324" s="223">
        <v>21</v>
      </c>
      <c r="C5324" s="223">
        <v>31</v>
      </c>
      <c r="D5324" s="223">
        <v>4</v>
      </c>
      <c r="E5324" s="223">
        <v>41335</v>
      </c>
    </row>
    <row r="5325" spans="1:5" ht="15">
      <c r="A5325" s="223" t="s">
        <v>246</v>
      </c>
      <c r="B5325" s="223">
        <v>21</v>
      </c>
      <c r="C5325" s="223">
        <v>32</v>
      </c>
      <c r="D5325" s="223">
        <v>7</v>
      </c>
      <c r="E5325" s="223">
        <v>15000</v>
      </c>
    </row>
    <row r="5326" spans="1:5" ht="15">
      <c r="A5326" s="223" t="s">
        <v>246</v>
      </c>
      <c r="B5326" s="223">
        <v>21</v>
      </c>
      <c r="C5326" s="223">
        <v>33</v>
      </c>
      <c r="D5326" s="223">
        <v>5</v>
      </c>
      <c r="E5326" s="223">
        <v>20675</v>
      </c>
    </row>
    <row r="5327" spans="1:5" ht="15">
      <c r="A5327" s="223" t="s">
        <v>246</v>
      </c>
      <c r="B5327" s="223">
        <v>21</v>
      </c>
      <c r="C5327" s="223">
        <v>34</v>
      </c>
      <c r="D5327" s="223">
        <v>2</v>
      </c>
      <c r="E5327" s="223">
        <v>188075</v>
      </c>
    </row>
    <row r="5328" spans="1:5" ht="15">
      <c r="A5328" s="223" t="s">
        <v>246</v>
      </c>
      <c r="B5328" s="223">
        <v>21</v>
      </c>
      <c r="C5328" s="223">
        <v>34</v>
      </c>
      <c r="D5328" s="223">
        <v>4</v>
      </c>
      <c r="E5328" s="223">
        <v>42497</v>
      </c>
    </row>
    <row r="5329" spans="1:5" ht="15">
      <c r="A5329" s="223" t="s">
        <v>246</v>
      </c>
      <c r="B5329" s="223">
        <v>23</v>
      </c>
      <c r="C5329" s="223">
        <v>27</v>
      </c>
      <c r="D5329" s="223">
        <v>2</v>
      </c>
      <c r="E5329" s="223">
        <v>99917</v>
      </c>
    </row>
    <row r="5330" spans="1:5" ht="15">
      <c r="A5330" s="223" t="s">
        <v>246</v>
      </c>
      <c r="B5330" s="223">
        <v>23</v>
      </c>
      <c r="C5330" s="223">
        <v>27</v>
      </c>
      <c r="D5330" s="223">
        <v>4</v>
      </c>
      <c r="E5330" s="223">
        <v>38035</v>
      </c>
    </row>
    <row r="5331" spans="1:5" ht="15">
      <c r="A5331" s="223" t="s">
        <v>246</v>
      </c>
      <c r="B5331" s="223">
        <v>23</v>
      </c>
      <c r="C5331" s="223">
        <v>27</v>
      </c>
      <c r="D5331" s="223">
        <v>5</v>
      </c>
      <c r="E5331" s="223">
        <v>17844</v>
      </c>
    </row>
    <row r="5332" spans="1:5" ht="15">
      <c r="A5332" s="223" t="s">
        <v>246</v>
      </c>
      <c r="B5332" s="223">
        <v>24</v>
      </c>
      <c r="C5332" s="223">
        <v>21</v>
      </c>
      <c r="D5332" s="223">
        <v>2</v>
      </c>
      <c r="E5332" s="223">
        <v>50673</v>
      </c>
    </row>
    <row r="5333" spans="1:5" ht="15">
      <c r="A5333" s="223" t="s">
        <v>246</v>
      </c>
      <c r="B5333" s="223">
        <v>24</v>
      </c>
      <c r="C5333" s="223">
        <v>21</v>
      </c>
      <c r="D5333" s="223">
        <v>4</v>
      </c>
      <c r="E5333" s="223">
        <v>15545</v>
      </c>
    </row>
    <row r="5334" spans="1:5" ht="15">
      <c r="A5334" s="223" t="s">
        <v>246</v>
      </c>
      <c r="B5334" s="223">
        <v>24</v>
      </c>
      <c r="C5334" s="223">
        <v>27</v>
      </c>
      <c r="D5334" s="223">
        <v>2</v>
      </c>
      <c r="E5334" s="223">
        <v>431163</v>
      </c>
    </row>
    <row r="5335" spans="1:5" ht="15">
      <c r="A5335" s="223" t="s">
        <v>246</v>
      </c>
      <c r="B5335" s="223">
        <v>24</v>
      </c>
      <c r="C5335" s="223">
        <v>27</v>
      </c>
      <c r="D5335" s="223">
        <v>3</v>
      </c>
      <c r="E5335" s="223">
        <v>681862</v>
      </c>
    </row>
    <row r="5336" spans="1:5" ht="15">
      <c r="A5336" s="223" t="s">
        <v>246</v>
      </c>
      <c r="B5336" s="223">
        <v>24</v>
      </c>
      <c r="C5336" s="223">
        <v>27</v>
      </c>
      <c r="D5336" s="223">
        <v>4</v>
      </c>
      <c r="E5336" s="223">
        <v>586701</v>
      </c>
    </row>
    <row r="5337" spans="1:5" ht="15">
      <c r="A5337" s="223" t="s">
        <v>246</v>
      </c>
      <c r="B5337" s="223">
        <v>24</v>
      </c>
      <c r="C5337" s="223">
        <v>27</v>
      </c>
      <c r="D5337" s="223">
        <v>5</v>
      </c>
      <c r="E5337" s="223">
        <v>187</v>
      </c>
    </row>
    <row r="5338" spans="1:5" ht="15">
      <c r="A5338" s="223" t="s">
        <v>246</v>
      </c>
      <c r="B5338" s="223">
        <v>24</v>
      </c>
      <c r="C5338" s="223">
        <v>31</v>
      </c>
      <c r="D5338" s="223">
        <v>2</v>
      </c>
      <c r="E5338" s="223">
        <v>8491</v>
      </c>
    </row>
    <row r="5339" spans="1:5" ht="15">
      <c r="A5339" s="223" t="s">
        <v>246</v>
      </c>
      <c r="B5339" s="223">
        <v>24</v>
      </c>
      <c r="C5339" s="223">
        <v>31</v>
      </c>
      <c r="D5339" s="223">
        <v>4</v>
      </c>
      <c r="E5339" s="223">
        <v>1914</v>
      </c>
    </row>
    <row r="5340" spans="1:5" ht="15">
      <c r="A5340" s="223" t="s">
        <v>248</v>
      </c>
      <c r="B5340" s="223">
        <v>21</v>
      </c>
      <c r="C5340" s="223">
        <v>21</v>
      </c>
      <c r="D5340" s="223">
        <v>2</v>
      </c>
      <c r="E5340" s="223">
        <v>224642</v>
      </c>
    </row>
    <row r="5341" spans="1:5" ht="15">
      <c r="A5341" s="223" t="s">
        <v>248</v>
      </c>
      <c r="B5341" s="223">
        <v>21</v>
      </c>
      <c r="C5341" s="223">
        <v>21</v>
      </c>
      <c r="D5341" s="223">
        <v>3</v>
      </c>
      <c r="E5341" s="223">
        <v>164050</v>
      </c>
    </row>
    <row r="5342" spans="1:5" ht="15">
      <c r="A5342" s="223" t="s">
        <v>248</v>
      </c>
      <c r="B5342" s="223">
        <v>21</v>
      </c>
      <c r="C5342" s="223">
        <v>21</v>
      </c>
      <c r="D5342" s="223">
        <v>4</v>
      </c>
      <c r="E5342" s="223">
        <v>148899</v>
      </c>
    </row>
    <row r="5343" spans="1:5" ht="15">
      <c r="A5343" s="223" t="s">
        <v>248</v>
      </c>
      <c r="B5343" s="223">
        <v>21</v>
      </c>
      <c r="C5343" s="223">
        <v>21</v>
      </c>
      <c r="D5343" s="223">
        <v>5</v>
      </c>
      <c r="E5343" s="223">
        <v>4500</v>
      </c>
    </row>
    <row r="5344" spans="1:5" ht="15">
      <c r="A5344" s="223" t="s">
        <v>248</v>
      </c>
      <c r="B5344" s="223">
        <v>21</v>
      </c>
      <c r="C5344" s="223">
        <v>21</v>
      </c>
      <c r="D5344" s="223">
        <v>7</v>
      </c>
      <c r="E5344" s="223">
        <v>1350</v>
      </c>
    </row>
    <row r="5345" spans="1:5" ht="15">
      <c r="A5345" s="223" t="s">
        <v>248</v>
      </c>
      <c r="B5345" s="223">
        <v>21</v>
      </c>
      <c r="C5345" s="223">
        <v>21</v>
      </c>
      <c r="D5345" s="223">
        <v>8</v>
      </c>
      <c r="E5345" s="223">
        <v>1620</v>
      </c>
    </row>
    <row r="5346" spans="1:5" ht="15">
      <c r="A5346" s="223" t="s">
        <v>248</v>
      </c>
      <c r="B5346" s="223">
        <v>21</v>
      </c>
      <c r="C5346" s="223">
        <v>25</v>
      </c>
      <c r="D5346" s="223">
        <v>3</v>
      </c>
      <c r="E5346" s="223">
        <v>133540</v>
      </c>
    </row>
    <row r="5347" spans="1:5" ht="15">
      <c r="A5347" s="223" t="s">
        <v>248</v>
      </c>
      <c r="B5347" s="223">
        <v>21</v>
      </c>
      <c r="C5347" s="223">
        <v>25</v>
      </c>
      <c r="D5347" s="223">
        <v>4</v>
      </c>
      <c r="E5347" s="223">
        <v>127025</v>
      </c>
    </row>
    <row r="5348" spans="1:5" ht="15">
      <c r="A5348" s="223" t="s">
        <v>248</v>
      </c>
      <c r="B5348" s="223">
        <v>21</v>
      </c>
      <c r="C5348" s="223">
        <v>26</v>
      </c>
      <c r="D5348" s="223">
        <v>2</v>
      </c>
      <c r="E5348" s="223">
        <v>1092697</v>
      </c>
    </row>
    <row r="5349" spans="1:5" ht="15">
      <c r="A5349" s="223" t="s">
        <v>248</v>
      </c>
      <c r="B5349" s="223">
        <v>21</v>
      </c>
      <c r="C5349" s="223">
        <v>26</v>
      </c>
      <c r="D5349" s="223">
        <v>3</v>
      </c>
      <c r="E5349" s="223">
        <v>506428</v>
      </c>
    </row>
    <row r="5350" spans="1:5" ht="15">
      <c r="A5350" s="223" t="s">
        <v>248</v>
      </c>
      <c r="B5350" s="223">
        <v>21</v>
      </c>
      <c r="C5350" s="223">
        <v>26</v>
      </c>
      <c r="D5350" s="223">
        <v>4</v>
      </c>
      <c r="E5350" s="223">
        <v>639264</v>
      </c>
    </row>
    <row r="5351" spans="1:5" ht="15">
      <c r="A5351" s="223" t="s">
        <v>248</v>
      </c>
      <c r="B5351" s="223">
        <v>21</v>
      </c>
      <c r="C5351" s="223">
        <v>26</v>
      </c>
      <c r="D5351" s="223">
        <v>5</v>
      </c>
      <c r="E5351" s="223">
        <v>22500</v>
      </c>
    </row>
    <row r="5352" spans="1:5" ht="15">
      <c r="A5352" s="223" t="s">
        <v>248</v>
      </c>
      <c r="B5352" s="223">
        <v>21</v>
      </c>
      <c r="C5352" s="223">
        <v>26</v>
      </c>
      <c r="D5352" s="223">
        <v>7</v>
      </c>
      <c r="E5352" s="223">
        <v>200000</v>
      </c>
    </row>
    <row r="5353" spans="1:5" ht="15">
      <c r="A5353" s="223" t="s">
        <v>248</v>
      </c>
      <c r="B5353" s="223">
        <v>21</v>
      </c>
      <c r="C5353" s="223">
        <v>27</v>
      </c>
      <c r="D5353" s="223">
        <v>2</v>
      </c>
      <c r="E5353" s="223">
        <v>4058485</v>
      </c>
    </row>
    <row r="5354" spans="1:5" ht="15">
      <c r="A5354" s="223" t="s">
        <v>248</v>
      </c>
      <c r="B5354" s="223">
        <v>21</v>
      </c>
      <c r="C5354" s="223">
        <v>27</v>
      </c>
      <c r="D5354" s="223">
        <v>3</v>
      </c>
      <c r="E5354" s="223">
        <v>1007833</v>
      </c>
    </row>
    <row r="5355" spans="1:5" ht="15">
      <c r="A5355" s="223" t="s">
        <v>248</v>
      </c>
      <c r="B5355" s="223">
        <v>21</v>
      </c>
      <c r="C5355" s="223">
        <v>27</v>
      </c>
      <c r="D5355" s="223">
        <v>4</v>
      </c>
      <c r="E5355" s="223">
        <v>1895861</v>
      </c>
    </row>
    <row r="5356" spans="1:5" ht="15">
      <c r="A5356" s="223" t="s">
        <v>248</v>
      </c>
      <c r="B5356" s="223">
        <v>21</v>
      </c>
      <c r="C5356" s="223">
        <v>27</v>
      </c>
      <c r="D5356" s="223">
        <v>5</v>
      </c>
      <c r="E5356" s="223">
        <v>135000</v>
      </c>
    </row>
    <row r="5357" spans="1:5" ht="15">
      <c r="A5357" s="223" t="s">
        <v>248</v>
      </c>
      <c r="B5357" s="223">
        <v>21</v>
      </c>
      <c r="C5357" s="223">
        <v>27</v>
      </c>
      <c r="D5357" s="223">
        <v>7</v>
      </c>
      <c r="E5357" s="223">
        <v>45000</v>
      </c>
    </row>
    <row r="5358" spans="1:5" ht="15">
      <c r="A5358" s="223" t="s">
        <v>248</v>
      </c>
      <c r="B5358" s="223">
        <v>21</v>
      </c>
      <c r="C5358" s="223">
        <v>27</v>
      </c>
      <c r="D5358" s="223">
        <v>8</v>
      </c>
      <c r="E5358" s="223">
        <v>1800</v>
      </c>
    </row>
    <row r="5359" spans="1:5" ht="15">
      <c r="A5359" s="223" t="s">
        <v>248</v>
      </c>
      <c r="B5359" s="223">
        <v>21</v>
      </c>
      <c r="C5359" s="223">
        <v>31</v>
      </c>
      <c r="D5359" s="223">
        <v>2</v>
      </c>
      <c r="E5359" s="223">
        <v>209723</v>
      </c>
    </row>
    <row r="5360" spans="1:5" ht="15">
      <c r="A5360" s="223" t="s">
        <v>248</v>
      </c>
      <c r="B5360" s="223">
        <v>21</v>
      </c>
      <c r="C5360" s="223">
        <v>31</v>
      </c>
      <c r="D5360" s="223">
        <v>4</v>
      </c>
      <c r="E5360" s="223">
        <v>47189</v>
      </c>
    </row>
    <row r="5361" spans="1:5" ht="15">
      <c r="A5361" s="223" t="s">
        <v>248</v>
      </c>
      <c r="B5361" s="223">
        <v>21</v>
      </c>
      <c r="C5361" s="223">
        <v>31</v>
      </c>
      <c r="D5361" s="223">
        <v>7</v>
      </c>
      <c r="E5361" s="223">
        <v>7200</v>
      </c>
    </row>
    <row r="5362" spans="1:5" ht="15">
      <c r="A5362" s="223" t="s">
        <v>248</v>
      </c>
      <c r="B5362" s="223">
        <v>21</v>
      </c>
      <c r="C5362" s="223">
        <v>31</v>
      </c>
      <c r="D5362" s="223">
        <v>8</v>
      </c>
      <c r="E5362" s="223">
        <v>1800</v>
      </c>
    </row>
    <row r="5363" spans="1:5" ht="15">
      <c r="A5363" s="223" t="s">
        <v>248</v>
      </c>
      <c r="B5363" s="223">
        <v>21</v>
      </c>
      <c r="C5363" s="223">
        <v>34</v>
      </c>
      <c r="D5363" s="223">
        <v>2</v>
      </c>
      <c r="E5363" s="223">
        <v>22820</v>
      </c>
    </row>
    <row r="5364" spans="1:5" ht="15">
      <c r="A5364" s="223" t="s">
        <v>248</v>
      </c>
      <c r="B5364" s="223">
        <v>21</v>
      </c>
      <c r="C5364" s="223">
        <v>34</v>
      </c>
      <c r="D5364" s="223">
        <v>4</v>
      </c>
      <c r="E5364" s="223">
        <v>5135</v>
      </c>
    </row>
    <row r="5365" spans="1:5" ht="15">
      <c r="A5365" s="223" t="s">
        <v>248</v>
      </c>
      <c r="B5365" s="223">
        <v>24</v>
      </c>
      <c r="C5365" s="223">
        <v>21</v>
      </c>
      <c r="D5365" s="223">
        <v>3</v>
      </c>
      <c r="E5365" s="223">
        <v>56602</v>
      </c>
    </row>
    <row r="5366" spans="1:5" ht="15">
      <c r="A5366" s="223" t="s">
        <v>248</v>
      </c>
      <c r="B5366" s="223">
        <v>24</v>
      </c>
      <c r="C5366" s="223">
        <v>21</v>
      </c>
      <c r="D5366" s="223">
        <v>4</v>
      </c>
      <c r="E5366" s="223">
        <v>23906</v>
      </c>
    </row>
    <row r="5367" spans="1:5" ht="15">
      <c r="A5367" s="223" t="s">
        <v>248</v>
      </c>
      <c r="B5367" s="223">
        <v>24</v>
      </c>
      <c r="C5367" s="223">
        <v>27</v>
      </c>
      <c r="D5367" s="223">
        <v>3</v>
      </c>
      <c r="E5367" s="223">
        <v>854310</v>
      </c>
    </row>
    <row r="5368" spans="1:5" ht="15">
      <c r="A5368" s="223" t="s">
        <v>248</v>
      </c>
      <c r="B5368" s="223">
        <v>24</v>
      </c>
      <c r="C5368" s="223">
        <v>27</v>
      </c>
      <c r="D5368" s="223">
        <v>4</v>
      </c>
      <c r="E5368" s="223">
        <v>522441</v>
      </c>
    </row>
    <row r="5369" spans="1:5" ht="15">
      <c r="A5369" s="223" t="s">
        <v>250</v>
      </c>
      <c r="B5369" s="223">
        <v>21</v>
      </c>
      <c r="C5369" s="223">
        <v>21</v>
      </c>
      <c r="D5369" s="223">
        <v>2</v>
      </c>
      <c r="E5369" s="223">
        <v>10511</v>
      </c>
    </row>
    <row r="5370" spans="1:5" ht="15">
      <c r="A5370" s="223" t="s">
        <v>250</v>
      </c>
      <c r="B5370" s="223">
        <v>21</v>
      </c>
      <c r="C5370" s="223">
        <v>21</v>
      </c>
      <c r="D5370" s="223">
        <v>4</v>
      </c>
      <c r="E5370" s="223">
        <v>5917</v>
      </c>
    </row>
    <row r="5371" spans="1:5" ht="15">
      <c r="A5371" s="223" t="s">
        <v>250</v>
      </c>
      <c r="B5371" s="223">
        <v>21</v>
      </c>
      <c r="C5371" s="223">
        <v>25</v>
      </c>
      <c r="D5371" s="223">
        <v>3</v>
      </c>
      <c r="E5371" s="223">
        <v>282548</v>
      </c>
    </row>
    <row r="5372" spans="1:5" ht="15">
      <c r="A5372" s="223" t="s">
        <v>250</v>
      </c>
      <c r="B5372" s="223">
        <v>21</v>
      </c>
      <c r="C5372" s="223">
        <v>25</v>
      </c>
      <c r="D5372" s="223">
        <v>4</v>
      </c>
      <c r="E5372" s="223">
        <v>157122</v>
      </c>
    </row>
    <row r="5373" spans="1:5" ht="15">
      <c r="A5373" s="223" t="s">
        <v>250</v>
      </c>
      <c r="B5373" s="223">
        <v>21</v>
      </c>
      <c r="C5373" s="223">
        <v>26</v>
      </c>
      <c r="D5373" s="223">
        <v>2</v>
      </c>
      <c r="E5373" s="223">
        <v>12819441</v>
      </c>
    </row>
    <row r="5374" spans="1:5" ht="15">
      <c r="A5374" s="223" t="s">
        <v>250</v>
      </c>
      <c r="B5374" s="223">
        <v>21</v>
      </c>
      <c r="C5374" s="223">
        <v>26</v>
      </c>
      <c r="D5374" s="223">
        <v>3</v>
      </c>
      <c r="E5374" s="223">
        <v>396155</v>
      </c>
    </row>
    <row r="5375" spans="1:5" ht="15">
      <c r="A5375" s="223" t="s">
        <v>250</v>
      </c>
      <c r="B5375" s="223">
        <v>21</v>
      </c>
      <c r="C5375" s="223">
        <v>26</v>
      </c>
      <c r="D5375" s="223">
        <v>4</v>
      </c>
      <c r="E5375" s="223">
        <v>4466328</v>
      </c>
    </row>
    <row r="5376" spans="1:5" ht="15">
      <c r="A5376" s="223" t="s">
        <v>250</v>
      </c>
      <c r="B5376" s="223">
        <v>21</v>
      </c>
      <c r="C5376" s="223">
        <v>27</v>
      </c>
      <c r="D5376" s="223">
        <v>2</v>
      </c>
      <c r="E5376" s="223">
        <v>15422828</v>
      </c>
    </row>
    <row r="5377" spans="1:5" ht="15">
      <c r="A5377" s="223" t="s">
        <v>250</v>
      </c>
      <c r="B5377" s="223">
        <v>21</v>
      </c>
      <c r="C5377" s="223">
        <v>27</v>
      </c>
      <c r="D5377" s="223">
        <v>3</v>
      </c>
      <c r="E5377" s="223">
        <v>8552731</v>
      </c>
    </row>
    <row r="5378" spans="1:5" ht="15">
      <c r="A5378" s="223" t="s">
        <v>250</v>
      </c>
      <c r="B5378" s="223">
        <v>21</v>
      </c>
      <c r="C5378" s="223">
        <v>27</v>
      </c>
      <c r="D5378" s="223">
        <v>4</v>
      </c>
      <c r="E5378" s="223">
        <v>9872531</v>
      </c>
    </row>
    <row r="5379" spans="1:5" ht="15">
      <c r="A5379" s="223" t="s">
        <v>250</v>
      </c>
      <c r="B5379" s="223">
        <v>21</v>
      </c>
      <c r="C5379" s="223">
        <v>27</v>
      </c>
      <c r="D5379" s="223">
        <v>5</v>
      </c>
      <c r="E5379" s="223">
        <v>145448</v>
      </c>
    </row>
    <row r="5380" spans="1:5" ht="15">
      <c r="A5380" s="223" t="s">
        <v>250</v>
      </c>
      <c r="B5380" s="223">
        <v>21</v>
      </c>
      <c r="C5380" s="223">
        <v>27</v>
      </c>
      <c r="D5380" s="223">
        <v>7</v>
      </c>
      <c r="E5380" s="223">
        <v>2111495</v>
      </c>
    </row>
    <row r="5381" spans="1:5" ht="15">
      <c r="A5381" s="223" t="s">
        <v>250</v>
      </c>
      <c r="B5381" s="223">
        <v>21</v>
      </c>
      <c r="C5381" s="223">
        <v>31</v>
      </c>
      <c r="D5381" s="223">
        <v>2</v>
      </c>
      <c r="E5381" s="223">
        <v>1020</v>
      </c>
    </row>
    <row r="5382" spans="1:5" ht="15">
      <c r="A5382" s="223" t="s">
        <v>250</v>
      </c>
      <c r="B5382" s="223">
        <v>21</v>
      </c>
      <c r="C5382" s="223">
        <v>31</v>
      </c>
      <c r="D5382" s="223">
        <v>3</v>
      </c>
      <c r="E5382" s="223">
        <v>224446</v>
      </c>
    </row>
    <row r="5383" spans="1:5" ht="15">
      <c r="A5383" s="223" t="s">
        <v>250</v>
      </c>
      <c r="B5383" s="223">
        <v>21</v>
      </c>
      <c r="C5383" s="223">
        <v>31</v>
      </c>
      <c r="D5383" s="223">
        <v>4</v>
      </c>
      <c r="E5383" s="223">
        <v>43753</v>
      </c>
    </row>
    <row r="5384" spans="1:5" ht="15">
      <c r="A5384" s="223" t="s">
        <v>250</v>
      </c>
      <c r="B5384" s="223">
        <v>21</v>
      </c>
      <c r="C5384" s="223">
        <v>34</v>
      </c>
      <c r="D5384" s="223">
        <v>2</v>
      </c>
      <c r="E5384" s="223">
        <v>353618</v>
      </c>
    </row>
    <row r="5385" spans="1:5" ht="15">
      <c r="A5385" s="223" t="s">
        <v>250</v>
      </c>
      <c r="B5385" s="223">
        <v>21</v>
      </c>
      <c r="C5385" s="223">
        <v>34</v>
      </c>
      <c r="D5385" s="223">
        <v>4</v>
      </c>
      <c r="E5385" s="223">
        <v>81748</v>
      </c>
    </row>
    <row r="5386" spans="1:5" ht="15">
      <c r="A5386" s="223" t="s">
        <v>250</v>
      </c>
      <c r="B5386" s="223">
        <v>23</v>
      </c>
      <c r="C5386" s="223">
        <v>26</v>
      </c>
      <c r="D5386" s="223">
        <v>2</v>
      </c>
      <c r="E5386" s="223">
        <v>162040</v>
      </c>
    </row>
    <row r="5387" spans="1:5" ht="15">
      <c r="A5387" s="223" t="s">
        <v>250</v>
      </c>
      <c r="B5387" s="223">
        <v>23</v>
      </c>
      <c r="C5387" s="223">
        <v>26</v>
      </c>
      <c r="D5387" s="223">
        <v>4</v>
      </c>
      <c r="E5387" s="223">
        <v>61511</v>
      </c>
    </row>
    <row r="5388" spans="1:5" ht="15">
      <c r="A5388" s="223" t="s">
        <v>250</v>
      </c>
      <c r="B5388" s="223">
        <v>23</v>
      </c>
      <c r="C5388" s="223">
        <v>27</v>
      </c>
      <c r="D5388" s="223">
        <v>2</v>
      </c>
      <c r="E5388" s="223">
        <v>793416</v>
      </c>
    </row>
    <row r="5389" spans="1:5" ht="15">
      <c r="A5389" s="223" t="s">
        <v>250</v>
      </c>
      <c r="B5389" s="223">
        <v>23</v>
      </c>
      <c r="C5389" s="223">
        <v>27</v>
      </c>
      <c r="D5389" s="223">
        <v>4</v>
      </c>
      <c r="E5389" s="223">
        <v>200120</v>
      </c>
    </row>
    <row r="5390" spans="1:5" ht="15">
      <c r="A5390" s="223" t="s">
        <v>250</v>
      </c>
      <c r="B5390" s="223">
        <v>23</v>
      </c>
      <c r="C5390" s="223">
        <v>31</v>
      </c>
      <c r="D5390" s="223">
        <v>2</v>
      </c>
      <c r="E5390" s="223">
        <v>11832</v>
      </c>
    </row>
    <row r="5391" spans="1:5" ht="15">
      <c r="A5391" s="223" t="s">
        <v>250</v>
      </c>
      <c r="B5391" s="223">
        <v>23</v>
      </c>
      <c r="C5391" s="223">
        <v>31</v>
      </c>
      <c r="D5391" s="223">
        <v>4</v>
      </c>
      <c r="E5391" s="223">
        <v>2727</v>
      </c>
    </row>
    <row r="5392" spans="1:5" ht="15">
      <c r="A5392" s="223" t="s">
        <v>250</v>
      </c>
      <c r="B5392" s="223">
        <v>24</v>
      </c>
      <c r="C5392" s="223">
        <v>27</v>
      </c>
      <c r="D5392" s="223">
        <v>2</v>
      </c>
      <c r="E5392" s="223">
        <v>4899981</v>
      </c>
    </row>
    <row r="5393" spans="1:5" ht="15">
      <c r="A5393" s="223" t="s">
        <v>250</v>
      </c>
      <c r="B5393" s="223">
        <v>24</v>
      </c>
      <c r="C5393" s="223">
        <v>27</v>
      </c>
      <c r="D5393" s="223">
        <v>3</v>
      </c>
      <c r="E5393" s="223">
        <v>762658</v>
      </c>
    </row>
    <row r="5394" spans="1:5" ht="15">
      <c r="A5394" s="223" t="s">
        <v>250</v>
      </c>
      <c r="B5394" s="223">
        <v>24</v>
      </c>
      <c r="C5394" s="223">
        <v>27</v>
      </c>
      <c r="D5394" s="223">
        <v>4</v>
      </c>
      <c r="E5394" s="223">
        <v>2161653</v>
      </c>
    </row>
    <row r="5395" spans="1:5" ht="15">
      <c r="A5395" s="223" t="s">
        <v>250</v>
      </c>
      <c r="B5395" s="223">
        <v>24</v>
      </c>
      <c r="C5395" s="223">
        <v>27</v>
      </c>
      <c r="D5395" s="223">
        <v>7</v>
      </c>
      <c r="E5395" s="223">
        <v>69012</v>
      </c>
    </row>
    <row r="5396" spans="1:5" ht="15">
      <c r="A5396" s="223" t="s">
        <v>250</v>
      </c>
      <c r="B5396" s="223">
        <v>24</v>
      </c>
      <c r="C5396" s="223">
        <v>31</v>
      </c>
      <c r="D5396" s="223">
        <v>2</v>
      </c>
      <c r="E5396" s="223">
        <v>61674</v>
      </c>
    </row>
    <row r="5397" spans="1:5" ht="15">
      <c r="A5397" s="223" t="s">
        <v>250</v>
      </c>
      <c r="B5397" s="223">
        <v>24</v>
      </c>
      <c r="C5397" s="223">
        <v>31</v>
      </c>
      <c r="D5397" s="223">
        <v>3</v>
      </c>
      <c r="E5397" s="223">
        <v>19960</v>
      </c>
    </row>
    <row r="5398" spans="1:5" ht="15">
      <c r="A5398" s="223" t="s">
        <v>250</v>
      </c>
      <c r="B5398" s="223">
        <v>24</v>
      </c>
      <c r="C5398" s="223">
        <v>31</v>
      </c>
      <c r="D5398" s="223">
        <v>4</v>
      </c>
      <c r="E5398" s="223">
        <v>18160</v>
      </c>
    </row>
    <row r="5399" spans="1:5" ht="15">
      <c r="A5399" s="223" t="s">
        <v>252</v>
      </c>
      <c r="B5399" s="223">
        <v>21</v>
      </c>
      <c r="C5399" s="223">
        <v>26</v>
      </c>
      <c r="D5399" s="223">
        <v>7</v>
      </c>
      <c r="E5399" s="223">
        <v>68645</v>
      </c>
    </row>
    <row r="5400" spans="1:5" ht="15">
      <c r="A5400" s="223" t="s">
        <v>252</v>
      </c>
      <c r="B5400" s="223">
        <v>21</v>
      </c>
      <c r="C5400" s="223">
        <v>27</v>
      </c>
      <c r="D5400" s="223">
        <v>2</v>
      </c>
      <c r="E5400" s="223">
        <v>157612</v>
      </c>
    </row>
    <row r="5401" spans="1:5" ht="15">
      <c r="A5401" s="223" t="s">
        <v>252</v>
      </c>
      <c r="B5401" s="223">
        <v>21</v>
      </c>
      <c r="C5401" s="223">
        <v>27</v>
      </c>
      <c r="D5401" s="223">
        <v>4</v>
      </c>
      <c r="E5401" s="223">
        <v>62743</v>
      </c>
    </row>
    <row r="5402" spans="1:5" ht="15">
      <c r="A5402" s="223" t="s">
        <v>252</v>
      </c>
      <c r="B5402" s="223">
        <v>21</v>
      </c>
      <c r="C5402" s="223">
        <v>27</v>
      </c>
      <c r="D5402" s="223">
        <v>5</v>
      </c>
      <c r="E5402" s="223">
        <v>2800</v>
      </c>
    </row>
    <row r="5403" spans="1:5" ht="15">
      <c r="A5403" s="223" t="s">
        <v>252</v>
      </c>
      <c r="B5403" s="223">
        <v>21</v>
      </c>
      <c r="C5403" s="223">
        <v>27</v>
      </c>
      <c r="D5403" s="223">
        <v>7</v>
      </c>
      <c r="E5403" s="223">
        <v>7400</v>
      </c>
    </row>
    <row r="5404" spans="1:5" ht="15">
      <c r="A5404" s="223" t="s">
        <v>252</v>
      </c>
      <c r="B5404" s="223">
        <v>21</v>
      </c>
      <c r="C5404" s="223">
        <v>27</v>
      </c>
      <c r="D5404" s="223">
        <v>8</v>
      </c>
      <c r="E5404" s="223">
        <v>500</v>
      </c>
    </row>
    <row r="5405" spans="1:5" ht="15">
      <c r="A5405" s="223" t="s">
        <v>252</v>
      </c>
      <c r="B5405" s="223">
        <v>21</v>
      </c>
      <c r="C5405" s="223">
        <v>31</v>
      </c>
      <c r="D5405" s="223">
        <v>7</v>
      </c>
      <c r="E5405" s="223">
        <v>300</v>
      </c>
    </row>
    <row r="5406" spans="1:5" ht="15">
      <c r="A5406" s="223" t="s">
        <v>252</v>
      </c>
      <c r="B5406" s="223">
        <v>24</v>
      </c>
      <c r="C5406" s="223">
        <v>26</v>
      </c>
      <c r="D5406" s="223">
        <v>7</v>
      </c>
      <c r="E5406" s="223">
        <v>44750</v>
      </c>
    </row>
    <row r="5407" spans="1:5" ht="15">
      <c r="A5407" s="223" t="s">
        <v>252</v>
      </c>
      <c r="B5407" s="223">
        <v>29</v>
      </c>
      <c r="C5407" s="223">
        <v>27</v>
      </c>
      <c r="D5407" s="223">
        <v>3</v>
      </c>
      <c r="E5407" s="223">
        <v>28224</v>
      </c>
    </row>
    <row r="5408" spans="1:5" ht="15">
      <c r="A5408" s="223" t="s">
        <v>252</v>
      </c>
      <c r="B5408" s="223">
        <v>29</v>
      </c>
      <c r="C5408" s="223">
        <v>27</v>
      </c>
      <c r="D5408" s="223">
        <v>4</v>
      </c>
      <c r="E5408" s="223">
        <v>21776</v>
      </c>
    </row>
    <row r="5409" spans="1:5" ht="15">
      <c r="A5409" s="223" t="s">
        <v>254</v>
      </c>
      <c r="B5409" s="223">
        <v>21</v>
      </c>
      <c r="C5409" s="223">
        <v>21</v>
      </c>
      <c r="D5409" s="223">
        <v>2</v>
      </c>
      <c r="E5409" s="223">
        <v>303447</v>
      </c>
    </row>
    <row r="5410" spans="1:5" ht="15">
      <c r="A5410" s="223" t="s">
        <v>254</v>
      </c>
      <c r="B5410" s="223">
        <v>21</v>
      </c>
      <c r="C5410" s="223">
        <v>21</v>
      </c>
      <c r="D5410" s="223">
        <v>3</v>
      </c>
      <c r="E5410" s="223">
        <v>172153</v>
      </c>
    </row>
    <row r="5411" spans="1:5" ht="15">
      <c r="A5411" s="223" t="s">
        <v>254</v>
      </c>
      <c r="B5411" s="223">
        <v>21</v>
      </c>
      <c r="C5411" s="223">
        <v>21</v>
      </c>
      <c r="D5411" s="223">
        <v>4</v>
      </c>
      <c r="E5411" s="223">
        <v>168027</v>
      </c>
    </row>
    <row r="5412" spans="1:5" ht="15">
      <c r="A5412" s="223" t="s">
        <v>254</v>
      </c>
      <c r="B5412" s="223">
        <v>21</v>
      </c>
      <c r="C5412" s="223">
        <v>21</v>
      </c>
      <c r="D5412" s="223">
        <v>5</v>
      </c>
      <c r="E5412" s="223">
        <v>17000</v>
      </c>
    </row>
    <row r="5413" spans="1:5" ht="15">
      <c r="A5413" s="223" t="s">
        <v>254</v>
      </c>
      <c r="B5413" s="223">
        <v>21</v>
      </c>
      <c r="C5413" s="223">
        <v>21</v>
      </c>
      <c r="D5413" s="223">
        <v>7</v>
      </c>
      <c r="E5413" s="223">
        <v>26250</v>
      </c>
    </row>
    <row r="5414" spans="1:5" ht="15">
      <c r="A5414" s="223" t="s">
        <v>254</v>
      </c>
      <c r="B5414" s="223">
        <v>21</v>
      </c>
      <c r="C5414" s="223">
        <v>21</v>
      </c>
      <c r="D5414" s="223">
        <v>8</v>
      </c>
      <c r="E5414" s="223">
        <v>8400</v>
      </c>
    </row>
    <row r="5415" spans="1:5" ht="15">
      <c r="A5415" s="223" t="s">
        <v>254</v>
      </c>
      <c r="B5415" s="223">
        <v>21</v>
      </c>
      <c r="C5415" s="223">
        <v>26</v>
      </c>
      <c r="D5415" s="223">
        <v>2</v>
      </c>
      <c r="E5415" s="223">
        <v>2541181</v>
      </c>
    </row>
    <row r="5416" spans="1:5" ht="15">
      <c r="A5416" s="223" t="s">
        <v>254</v>
      </c>
      <c r="B5416" s="223">
        <v>21</v>
      </c>
      <c r="C5416" s="223">
        <v>26</v>
      </c>
      <c r="D5416" s="223">
        <v>3</v>
      </c>
      <c r="E5416" s="223">
        <v>125868</v>
      </c>
    </row>
    <row r="5417" spans="1:5" ht="15">
      <c r="A5417" s="223" t="s">
        <v>254</v>
      </c>
      <c r="B5417" s="223">
        <v>21</v>
      </c>
      <c r="C5417" s="223">
        <v>26</v>
      </c>
      <c r="D5417" s="223">
        <v>4</v>
      </c>
      <c r="E5417" s="223">
        <v>979687</v>
      </c>
    </row>
    <row r="5418" spans="1:5" ht="15">
      <c r="A5418" s="223" t="s">
        <v>254</v>
      </c>
      <c r="B5418" s="223">
        <v>21</v>
      </c>
      <c r="C5418" s="223">
        <v>26</v>
      </c>
      <c r="D5418" s="223">
        <v>5</v>
      </c>
      <c r="E5418" s="223">
        <v>17400</v>
      </c>
    </row>
    <row r="5419" spans="1:5" ht="15">
      <c r="A5419" s="223" t="s">
        <v>254</v>
      </c>
      <c r="B5419" s="223">
        <v>21</v>
      </c>
      <c r="C5419" s="223">
        <v>26</v>
      </c>
      <c r="D5419" s="223">
        <v>7</v>
      </c>
      <c r="E5419" s="223">
        <v>851372</v>
      </c>
    </row>
    <row r="5420" spans="1:5" ht="15">
      <c r="A5420" s="223" t="s">
        <v>254</v>
      </c>
      <c r="B5420" s="223">
        <v>21</v>
      </c>
      <c r="C5420" s="223">
        <v>27</v>
      </c>
      <c r="D5420" s="223">
        <v>0</v>
      </c>
      <c r="E5420" s="223">
        <v>1365</v>
      </c>
    </row>
    <row r="5421" spans="1:5" ht="15">
      <c r="A5421" s="223" t="s">
        <v>254</v>
      </c>
      <c r="B5421" s="223">
        <v>21</v>
      </c>
      <c r="C5421" s="223">
        <v>27</v>
      </c>
      <c r="D5421" s="223">
        <v>2</v>
      </c>
      <c r="E5421" s="223">
        <v>5212136</v>
      </c>
    </row>
    <row r="5422" spans="1:5" ht="15">
      <c r="A5422" s="223" t="s">
        <v>254</v>
      </c>
      <c r="B5422" s="223">
        <v>21</v>
      </c>
      <c r="C5422" s="223">
        <v>27</v>
      </c>
      <c r="D5422" s="223">
        <v>3</v>
      </c>
      <c r="E5422" s="223">
        <v>5176284</v>
      </c>
    </row>
    <row r="5423" spans="1:5" ht="15">
      <c r="A5423" s="223" t="s">
        <v>254</v>
      </c>
      <c r="B5423" s="223">
        <v>21</v>
      </c>
      <c r="C5423" s="223">
        <v>27</v>
      </c>
      <c r="D5423" s="223">
        <v>4</v>
      </c>
      <c r="E5423" s="223">
        <v>4867818</v>
      </c>
    </row>
    <row r="5424" spans="1:5" ht="15">
      <c r="A5424" s="223" t="s">
        <v>254</v>
      </c>
      <c r="B5424" s="223">
        <v>21</v>
      </c>
      <c r="C5424" s="223">
        <v>27</v>
      </c>
      <c r="D5424" s="223">
        <v>5</v>
      </c>
      <c r="E5424" s="223">
        <v>76700</v>
      </c>
    </row>
    <row r="5425" spans="1:5" ht="15">
      <c r="A5425" s="223" t="s">
        <v>254</v>
      </c>
      <c r="B5425" s="223">
        <v>21</v>
      </c>
      <c r="C5425" s="223">
        <v>27</v>
      </c>
      <c r="D5425" s="223">
        <v>7</v>
      </c>
      <c r="E5425" s="223">
        <v>2015906</v>
      </c>
    </row>
    <row r="5426" spans="1:5" ht="15">
      <c r="A5426" s="223" t="s">
        <v>254</v>
      </c>
      <c r="B5426" s="223">
        <v>21</v>
      </c>
      <c r="C5426" s="223">
        <v>27</v>
      </c>
      <c r="D5426" s="223">
        <v>8</v>
      </c>
      <c r="E5426" s="223">
        <v>1150</v>
      </c>
    </row>
    <row r="5427" spans="1:5" ht="15">
      <c r="A5427" s="223" t="s">
        <v>254</v>
      </c>
      <c r="B5427" s="223">
        <v>21</v>
      </c>
      <c r="C5427" s="223">
        <v>28</v>
      </c>
      <c r="D5427" s="223">
        <v>7</v>
      </c>
      <c r="E5427" s="223">
        <v>2500</v>
      </c>
    </row>
    <row r="5428" spans="1:5" ht="15">
      <c r="A5428" s="223" t="s">
        <v>254</v>
      </c>
      <c r="B5428" s="223">
        <v>21</v>
      </c>
      <c r="C5428" s="223">
        <v>29</v>
      </c>
      <c r="D5428" s="223">
        <v>7</v>
      </c>
      <c r="E5428" s="223">
        <v>45000</v>
      </c>
    </row>
    <row r="5429" spans="1:5" ht="15">
      <c r="A5429" s="223" t="s">
        <v>254</v>
      </c>
      <c r="B5429" s="223">
        <v>21</v>
      </c>
      <c r="C5429" s="223">
        <v>33</v>
      </c>
      <c r="D5429" s="223">
        <v>2</v>
      </c>
      <c r="E5429" s="223">
        <v>40000</v>
      </c>
    </row>
    <row r="5430" spans="1:5" ht="15">
      <c r="A5430" s="223" t="s">
        <v>254</v>
      </c>
      <c r="B5430" s="223">
        <v>21</v>
      </c>
      <c r="C5430" s="223">
        <v>33</v>
      </c>
      <c r="D5430" s="223">
        <v>4</v>
      </c>
      <c r="E5430" s="223">
        <v>9200</v>
      </c>
    </row>
    <row r="5431" spans="1:5" ht="15">
      <c r="A5431" s="223" t="s">
        <v>254</v>
      </c>
      <c r="B5431" s="223">
        <v>21</v>
      </c>
      <c r="C5431" s="223">
        <v>33</v>
      </c>
      <c r="D5431" s="223">
        <v>5</v>
      </c>
      <c r="E5431" s="223">
        <v>45750</v>
      </c>
    </row>
    <row r="5432" spans="1:5" ht="15">
      <c r="A5432" s="223" t="s">
        <v>254</v>
      </c>
      <c r="B5432" s="223">
        <v>21</v>
      </c>
      <c r="C5432" s="223">
        <v>33</v>
      </c>
      <c r="D5432" s="223">
        <v>7</v>
      </c>
      <c r="E5432" s="223">
        <v>10000</v>
      </c>
    </row>
    <row r="5433" spans="1:5" ht="15">
      <c r="A5433" s="223" t="s">
        <v>254</v>
      </c>
      <c r="B5433" s="223">
        <v>23</v>
      </c>
      <c r="C5433" s="223">
        <v>27</v>
      </c>
      <c r="D5433" s="223">
        <v>3</v>
      </c>
      <c r="E5433" s="223">
        <v>17399</v>
      </c>
    </row>
    <row r="5434" spans="1:5" ht="15">
      <c r="A5434" s="223" t="s">
        <v>254</v>
      </c>
      <c r="B5434" s="223">
        <v>23</v>
      </c>
      <c r="C5434" s="223">
        <v>27</v>
      </c>
      <c r="D5434" s="223">
        <v>4</v>
      </c>
      <c r="E5434" s="223">
        <v>1612</v>
      </c>
    </row>
    <row r="5435" spans="1:5" ht="15">
      <c r="A5435" s="223" t="s">
        <v>254</v>
      </c>
      <c r="B5435" s="223">
        <v>24</v>
      </c>
      <c r="C5435" s="223">
        <v>21</v>
      </c>
      <c r="D5435" s="223">
        <v>7</v>
      </c>
      <c r="E5435" s="223">
        <v>15000</v>
      </c>
    </row>
    <row r="5436" spans="1:5" ht="15">
      <c r="A5436" s="223" t="s">
        <v>254</v>
      </c>
      <c r="B5436" s="223">
        <v>24</v>
      </c>
      <c r="C5436" s="223">
        <v>26</v>
      </c>
      <c r="D5436" s="223">
        <v>2</v>
      </c>
      <c r="E5436" s="223">
        <v>100737</v>
      </c>
    </row>
    <row r="5437" spans="1:5" ht="15">
      <c r="A5437" s="223" t="s">
        <v>254</v>
      </c>
      <c r="B5437" s="223">
        <v>24</v>
      </c>
      <c r="C5437" s="223">
        <v>26</v>
      </c>
      <c r="D5437" s="223">
        <v>4</v>
      </c>
      <c r="E5437" s="223">
        <v>33306</v>
      </c>
    </row>
    <row r="5438" spans="1:5" ht="15">
      <c r="A5438" s="223" t="s">
        <v>254</v>
      </c>
      <c r="B5438" s="223">
        <v>24</v>
      </c>
      <c r="C5438" s="223">
        <v>26</v>
      </c>
      <c r="D5438" s="223">
        <v>7</v>
      </c>
      <c r="E5438" s="223">
        <v>46310</v>
      </c>
    </row>
    <row r="5439" spans="1:5" ht="15">
      <c r="A5439" s="223" t="s">
        <v>254</v>
      </c>
      <c r="B5439" s="223">
        <v>24</v>
      </c>
      <c r="C5439" s="223">
        <v>27</v>
      </c>
      <c r="D5439" s="223">
        <v>2</v>
      </c>
      <c r="E5439" s="223">
        <v>378833</v>
      </c>
    </row>
    <row r="5440" spans="1:5" ht="15">
      <c r="A5440" s="223" t="s">
        <v>254</v>
      </c>
      <c r="B5440" s="223">
        <v>24</v>
      </c>
      <c r="C5440" s="223">
        <v>27</v>
      </c>
      <c r="D5440" s="223">
        <v>3</v>
      </c>
      <c r="E5440" s="223">
        <v>124856</v>
      </c>
    </row>
    <row r="5441" spans="1:5" ht="15">
      <c r="A5441" s="223" t="s">
        <v>254</v>
      </c>
      <c r="B5441" s="223">
        <v>24</v>
      </c>
      <c r="C5441" s="223">
        <v>27</v>
      </c>
      <c r="D5441" s="223">
        <v>4</v>
      </c>
      <c r="E5441" s="223">
        <v>209112</v>
      </c>
    </row>
    <row r="5442" spans="1:5" ht="15">
      <c r="A5442" s="223" t="s">
        <v>254</v>
      </c>
      <c r="B5442" s="223">
        <v>24</v>
      </c>
      <c r="C5442" s="223">
        <v>27</v>
      </c>
      <c r="D5442" s="223">
        <v>7</v>
      </c>
      <c r="E5442" s="223">
        <v>1600342</v>
      </c>
    </row>
    <row r="5443" spans="1:5" ht="15">
      <c r="A5443" s="223" t="s">
        <v>256</v>
      </c>
      <c r="B5443" s="223">
        <v>21</v>
      </c>
      <c r="C5443" s="223">
        <v>21</v>
      </c>
      <c r="D5443" s="223">
        <v>2</v>
      </c>
      <c r="E5443" s="223">
        <v>5000</v>
      </c>
    </row>
    <row r="5444" spans="1:5" ht="15">
      <c r="A5444" s="223" t="s">
        <v>256</v>
      </c>
      <c r="B5444" s="223">
        <v>21</v>
      </c>
      <c r="C5444" s="223">
        <v>21</v>
      </c>
      <c r="D5444" s="223">
        <v>4</v>
      </c>
      <c r="E5444" s="223">
        <v>2429</v>
      </c>
    </row>
    <row r="5445" spans="1:5" ht="15">
      <c r="A5445" s="223" t="s">
        <v>256</v>
      </c>
      <c r="B5445" s="223">
        <v>21</v>
      </c>
      <c r="C5445" s="223">
        <v>26</v>
      </c>
      <c r="D5445" s="223">
        <v>7</v>
      </c>
      <c r="E5445" s="223">
        <v>40000</v>
      </c>
    </row>
    <row r="5446" spans="1:5" ht="15">
      <c r="A5446" s="223" t="s">
        <v>256</v>
      </c>
      <c r="B5446" s="223">
        <v>21</v>
      </c>
      <c r="C5446" s="223">
        <v>27</v>
      </c>
      <c r="D5446" s="223">
        <v>2</v>
      </c>
      <c r="E5446" s="223">
        <v>91482</v>
      </c>
    </row>
    <row r="5447" spans="1:5" ht="15">
      <c r="A5447" s="223" t="s">
        <v>256</v>
      </c>
      <c r="B5447" s="223">
        <v>21</v>
      </c>
      <c r="C5447" s="223">
        <v>27</v>
      </c>
      <c r="D5447" s="223">
        <v>3</v>
      </c>
      <c r="E5447" s="223">
        <v>91081</v>
      </c>
    </row>
    <row r="5448" spans="1:5" ht="15">
      <c r="A5448" s="223" t="s">
        <v>256</v>
      </c>
      <c r="B5448" s="223">
        <v>21</v>
      </c>
      <c r="C5448" s="223">
        <v>27</v>
      </c>
      <c r="D5448" s="223">
        <v>4</v>
      </c>
      <c r="E5448" s="223">
        <v>87753</v>
      </c>
    </row>
    <row r="5449" spans="1:5" ht="15">
      <c r="A5449" s="223" t="s">
        <v>256</v>
      </c>
      <c r="B5449" s="223">
        <v>21</v>
      </c>
      <c r="C5449" s="223">
        <v>27</v>
      </c>
      <c r="D5449" s="223">
        <v>5</v>
      </c>
      <c r="E5449" s="223">
        <v>600</v>
      </c>
    </row>
    <row r="5450" spans="1:5" ht="15">
      <c r="A5450" s="223" t="s">
        <v>256</v>
      </c>
      <c r="B5450" s="223">
        <v>21</v>
      </c>
      <c r="C5450" s="223">
        <v>27</v>
      </c>
      <c r="D5450" s="223">
        <v>7</v>
      </c>
      <c r="E5450" s="223">
        <v>500</v>
      </c>
    </row>
    <row r="5451" spans="1:5" ht="15">
      <c r="A5451" s="223" t="s">
        <v>256</v>
      </c>
      <c r="B5451" s="223">
        <v>21</v>
      </c>
      <c r="C5451" s="223">
        <v>31</v>
      </c>
      <c r="D5451" s="223">
        <v>7</v>
      </c>
      <c r="E5451" s="223">
        <v>300</v>
      </c>
    </row>
    <row r="5452" spans="1:5" ht="15">
      <c r="A5452" s="223" t="s">
        <v>256</v>
      </c>
      <c r="B5452" s="223">
        <v>24</v>
      </c>
      <c r="C5452" s="223">
        <v>26</v>
      </c>
      <c r="D5452" s="223">
        <v>7</v>
      </c>
      <c r="E5452" s="223">
        <v>41456</v>
      </c>
    </row>
    <row r="5453" spans="1:5" ht="15">
      <c r="A5453" s="223" t="s">
        <v>258</v>
      </c>
      <c r="B5453" s="223">
        <v>21</v>
      </c>
      <c r="C5453" s="223">
        <v>21</v>
      </c>
      <c r="D5453" s="223">
        <v>2</v>
      </c>
      <c r="E5453" s="223">
        <v>56610</v>
      </c>
    </row>
    <row r="5454" spans="1:5" ht="15">
      <c r="A5454" s="223" t="s">
        <v>258</v>
      </c>
      <c r="B5454" s="223">
        <v>21</v>
      </c>
      <c r="C5454" s="223">
        <v>21</v>
      </c>
      <c r="D5454" s="223">
        <v>3</v>
      </c>
      <c r="E5454" s="223">
        <v>33311</v>
      </c>
    </row>
    <row r="5455" spans="1:5" ht="15">
      <c r="A5455" s="223" t="s">
        <v>258</v>
      </c>
      <c r="B5455" s="223">
        <v>21</v>
      </c>
      <c r="C5455" s="223">
        <v>21</v>
      </c>
      <c r="D5455" s="223">
        <v>4</v>
      </c>
      <c r="E5455" s="223">
        <v>29779</v>
      </c>
    </row>
    <row r="5456" spans="1:5" ht="15">
      <c r="A5456" s="223" t="s">
        <v>258</v>
      </c>
      <c r="B5456" s="223">
        <v>21</v>
      </c>
      <c r="C5456" s="223">
        <v>21</v>
      </c>
      <c r="D5456" s="223">
        <v>5</v>
      </c>
      <c r="E5456" s="223">
        <v>4500</v>
      </c>
    </row>
    <row r="5457" spans="1:5" ht="15">
      <c r="A5457" s="223" t="s">
        <v>258</v>
      </c>
      <c r="B5457" s="223">
        <v>21</v>
      </c>
      <c r="C5457" s="223">
        <v>21</v>
      </c>
      <c r="D5457" s="223">
        <v>7</v>
      </c>
      <c r="E5457" s="223">
        <v>1000</v>
      </c>
    </row>
    <row r="5458" spans="1:5" ht="15">
      <c r="A5458" s="223" t="s">
        <v>258</v>
      </c>
      <c r="B5458" s="223">
        <v>21</v>
      </c>
      <c r="C5458" s="223">
        <v>21</v>
      </c>
      <c r="D5458" s="223">
        <v>8</v>
      </c>
      <c r="E5458" s="223">
        <v>500</v>
      </c>
    </row>
    <row r="5459" spans="1:5" ht="15">
      <c r="A5459" s="223" t="s">
        <v>258</v>
      </c>
      <c r="B5459" s="223">
        <v>21</v>
      </c>
      <c r="C5459" s="223">
        <v>26</v>
      </c>
      <c r="D5459" s="223">
        <v>2</v>
      </c>
      <c r="E5459" s="223">
        <v>57454</v>
      </c>
    </row>
    <row r="5460" spans="1:5" ht="15">
      <c r="A5460" s="223" t="s">
        <v>258</v>
      </c>
      <c r="B5460" s="223">
        <v>21</v>
      </c>
      <c r="C5460" s="223">
        <v>26</v>
      </c>
      <c r="D5460" s="223">
        <v>3</v>
      </c>
      <c r="E5460" s="223">
        <v>118659</v>
      </c>
    </row>
    <row r="5461" spans="1:5" ht="15">
      <c r="A5461" s="223" t="s">
        <v>258</v>
      </c>
      <c r="B5461" s="223">
        <v>21</v>
      </c>
      <c r="C5461" s="223">
        <v>26</v>
      </c>
      <c r="D5461" s="223">
        <v>4</v>
      </c>
      <c r="E5461" s="223">
        <v>67272</v>
      </c>
    </row>
    <row r="5462" spans="1:5" ht="15">
      <c r="A5462" s="223" t="s">
        <v>258</v>
      </c>
      <c r="B5462" s="223">
        <v>21</v>
      </c>
      <c r="C5462" s="223">
        <v>26</v>
      </c>
      <c r="D5462" s="223">
        <v>7</v>
      </c>
      <c r="E5462" s="223">
        <v>337500</v>
      </c>
    </row>
    <row r="5463" spans="1:5" ht="15">
      <c r="A5463" s="223" t="s">
        <v>258</v>
      </c>
      <c r="B5463" s="223">
        <v>21</v>
      </c>
      <c r="C5463" s="223">
        <v>27</v>
      </c>
      <c r="D5463" s="223">
        <v>2</v>
      </c>
      <c r="E5463" s="223">
        <v>720343</v>
      </c>
    </row>
    <row r="5464" spans="1:5" ht="15">
      <c r="A5464" s="223" t="s">
        <v>258</v>
      </c>
      <c r="B5464" s="223">
        <v>21</v>
      </c>
      <c r="C5464" s="223">
        <v>27</v>
      </c>
      <c r="D5464" s="223">
        <v>3</v>
      </c>
      <c r="E5464" s="223">
        <v>352114</v>
      </c>
    </row>
    <row r="5465" spans="1:5" ht="15">
      <c r="A5465" s="223" t="s">
        <v>258</v>
      </c>
      <c r="B5465" s="223">
        <v>21</v>
      </c>
      <c r="C5465" s="223">
        <v>27</v>
      </c>
      <c r="D5465" s="223">
        <v>4</v>
      </c>
      <c r="E5465" s="223">
        <v>497241</v>
      </c>
    </row>
    <row r="5466" spans="1:5" ht="15">
      <c r="A5466" s="223" t="s">
        <v>258</v>
      </c>
      <c r="B5466" s="223">
        <v>21</v>
      </c>
      <c r="C5466" s="223">
        <v>27</v>
      </c>
      <c r="D5466" s="223">
        <v>7</v>
      </c>
      <c r="E5466" s="223">
        <v>25000</v>
      </c>
    </row>
    <row r="5467" spans="1:5" ht="15">
      <c r="A5467" s="223" t="s">
        <v>258</v>
      </c>
      <c r="B5467" s="223">
        <v>21</v>
      </c>
      <c r="C5467" s="223">
        <v>31</v>
      </c>
      <c r="D5467" s="223">
        <v>7</v>
      </c>
      <c r="E5467" s="223">
        <v>5500</v>
      </c>
    </row>
    <row r="5468" spans="1:5" ht="15">
      <c r="A5468" s="223" t="s">
        <v>258</v>
      </c>
      <c r="B5468" s="223">
        <v>21</v>
      </c>
      <c r="C5468" s="223">
        <v>31</v>
      </c>
      <c r="D5468" s="223">
        <v>8</v>
      </c>
      <c r="E5468" s="223">
        <v>3500</v>
      </c>
    </row>
    <row r="5469" spans="1:5" ht="15">
      <c r="A5469" s="223" t="s">
        <v>258</v>
      </c>
      <c r="B5469" s="223">
        <v>21</v>
      </c>
      <c r="C5469" s="223">
        <v>33</v>
      </c>
      <c r="D5469" s="223">
        <v>5</v>
      </c>
      <c r="E5469" s="223">
        <v>10000</v>
      </c>
    </row>
    <row r="5470" spans="1:5" ht="15">
      <c r="A5470" s="223" t="s">
        <v>258</v>
      </c>
      <c r="B5470" s="223">
        <v>21</v>
      </c>
      <c r="C5470" s="223">
        <v>33</v>
      </c>
      <c r="D5470" s="223">
        <v>7</v>
      </c>
      <c r="E5470" s="223">
        <v>10000</v>
      </c>
    </row>
    <row r="5471" spans="1:5" ht="15">
      <c r="A5471" s="223" t="s">
        <v>258</v>
      </c>
      <c r="B5471" s="223">
        <v>21</v>
      </c>
      <c r="C5471" s="223">
        <v>34</v>
      </c>
      <c r="D5471" s="223">
        <v>2</v>
      </c>
      <c r="E5471" s="223">
        <v>11686</v>
      </c>
    </row>
    <row r="5472" spans="1:5" ht="15">
      <c r="A5472" s="223" t="s">
        <v>258</v>
      </c>
      <c r="B5472" s="223">
        <v>21</v>
      </c>
      <c r="C5472" s="223">
        <v>34</v>
      </c>
      <c r="D5472" s="223">
        <v>4</v>
      </c>
      <c r="E5472" s="223">
        <v>2679</v>
      </c>
    </row>
    <row r="5473" spans="1:5" ht="15">
      <c r="A5473" s="223" t="s">
        <v>258</v>
      </c>
      <c r="B5473" s="223">
        <v>24</v>
      </c>
      <c r="C5473" s="223">
        <v>21</v>
      </c>
      <c r="D5473" s="223">
        <v>5</v>
      </c>
      <c r="E5473" s="223">
        <v>352</v>
      </c>
    </row>
    <row r="5474" spans="1:5" ht="15">
      <c r="A5474" s="223" t="s">
        <v>258</v>
      </c>
      <c r="B5474" s="223">
        <v>24</v>
      </c>
      <c r="C5474" s="223">
        <v>26</v>
      </c>
      <c r="D5474" s="223">
        <v>5</v>
      </c>
      <c r="E5474" s="223">
        <v>500</v>
      </c>
    </row>
    <row r="5475" spans="1:5" ht="15">
      <c r="A5475" s="223" t="s">
        <v>258</v>
      </c>
      <c r="B5475" s="223">
        <v>24</v>
      </c>
      <c r="C5475" s="223">
        <v>26</v>
      </c>
      <c r="D5475" s="223">
        <v>7</v>
      </c>
      <c r="E5475" s="223">
        <v>500</v>
      </c>
    </row>
    <row r="5476" spans="1:5" ht="15">
      <c r="A5476" s="223" t="s">
        <v>258</v>
      </c>
      <c r="B5476" s="223">
        <v>24</v>
      </c>
      <c r="C5476" s="223">
        <v>27</v>
      </c>
      <c r="D5476" s="223">
        <v>2</v>
      </c>
      <c r="E5476" s="223">
        <v>26658</v>
      </c>
    </row>
    <row r="5477" spans="1:5" ht="15">
      <c r="A5477" s="223" t="s">
        <v>258</v>
      </c>
      <c r="B5477" s="223">
        <v>24</v>
      </c>
      <c r="C5477" s="223">
        <v>27</v>
      </c>
      <c r="D5477" s="223">
        <v>3</v>
      </c>
      <c r="E5477" s="223">
        <v>145768</v>
      </c>
    </row>
    <row r="5478" spans="1:5" ht="15">
      <c r="A5478" s="223" t="s">
        <v>258</v>
      </c>
      <c r="B5478" s="223">
        <v>24</v>
      </c>
      <c r="C5478" s="223">
        <v>27</v>
      </c>
      <c r="D5478" s="223">
        <v>4</v>
      </c>
      <c r="E5478" s="223">
        <v>102701</v>
      </c>
    </row>
    <row r="5479" spans="1:5" ht="15">
      <c r="A5479" s="223" t="s">
        <v>258</v>
      </c>
      <c r="B5479" s="223">
        <v>24</v>
      </c>
      <c r="C5479" s="223">
        <v>27</v>
      </c>
      <c r="D5479" s="223">
        <v>5</v>
      </c>
      <c r="E5479" s="223">
        <v>614</v>
      </c>
    </row>
    <row r="5480" spans="1:5" ht="15">
      <c r="A5480" s="223" t="s">
        <v>258</v>
      </c>
      <c r="B5480" s="223">
        <v>24</v>
      </c>
      <c r="C5480" s="223">
        <v>31</v>
      </c>
      <c r="D5480" s="223">
        <v>8</v>
      </c>
      <c r="E5480" s="223">
        <v>250</v>
      </c>
    </row>
    <row r="5481" spans="1:5" ht="15">
      <c r="A5481" s="223" t="s">
        <v>258</v>
      </c>
      <c r="B5481" s="223">
        <v>24</v>
      </c>
      <c r="C5481" s="223">
        <v>33</v>
      </c>
      <c r="D5481" s="223">
        <v>5</v>
      </c>
      <c r="E5481" s="223">
        <v>6978</v>
      </c>
    </row>
    <row r="5482" spans="1:5" ht="15">
      <c r="A5482" s="223" t="s">
        <v>258</v>
      </c>
      <c r="B5482" s="223">
        <v>24</v>
      </c>
      <c r="C5482" s="223">
        <v>33</v>
      </c>
      <c r="D5482" s="223">
        <v>7</v>
      </c>
      <c r="E5482" s="223">
        <v>6000</v>
      </c>
    </row>
    <row r="5483" spans="1:5" ht="15">
      <c r="A5483" s="223" t="s">
        <v>260</v>
      </c>
      <c r="B5483" s="223">
        <v>21</v>
      </c>
      <c r="C5483" s="223">
        <v>23</v>
      </c>
      <c r="D5483" s="223">
        <v>2</v>
      </c>
      <c r="E5483" s="223">
        <v>40727</v>
      </c>
    </row>
    <row r="5484" spans="1:5" ht="15">
      <c r="A5484" s="223" t="s">
        <v>260</v>
      </c>
      <c r="B5484" s="223">
        <v>21</v>
      </c>
      <c r="C5484" s="223">
        <v>23</v>
      </c>
      <c r="D5484" s="223">
        <v>4</v>
      </c>
      <c r="E5484" s="223">
        <v>15542</v>
      </c>
    </row>
    <row r="5485" spans="1:5" ht="15">
      <c r="A5485" s="223" t="s">
        <v>260</v>
      </c>
      <c r="B5485" s="223">
        <v>21</v>
      </c>
      <c r="C5485" s="223">
        <v>26</v>
      </c>
      <c r="D5485" s="223">
        <v>5</v>
      </c>
      <c r="E5485" s="223">
        <v>2000</v>
      </c>
    </row>
    <row r="5486" spans="1:5" ht="15">
      <c r="A5486" s="223" t="s">
        <v>260</v>
      </c>
      <c r="B5486" s="223">
        <v>21</v>
      </c>
      <c r="C5486" s="223">
        <v>26</v>
      </c>
      <c r="D5486" s="223">
        <v>7</v>
      </c>
      <c r="E5486" s="223">
        <v>90000</v>
      </c>
    </row>
    <row r="5487" spans="1:5" ht="15">
      <c r="A5487" s="223" t="s">
        <v>260</v>
      </c>
      <c r="B5487" s="223">
        <v>21</v>
      </c>
      <c r="C5487" s="223">
        <v>27</v>
      </c>
      <c r="D5487" s="223">
        <v>2</v>
      </c>
      <c r="E5487" s="223">
        <v>92783</v>
      </c>
    </row>
    <row r="5488" spans="1:5" ht="15">
      <c r="A5488" s="223" t="s">
        <v>260</v>
      </c>
      <c r="B5488" s="223">
        <v>21</v>
      </c>
      <c r="C5488" s="223">
        <v>27</v>
      </c>
      <c r="D5488" s="223">
        <v>3</v>
      </c>
      <c r="E5488" s="223">
        <v>76188</v>
      </c>
    </row>
    <row r="5489" spans="1:5" ht="15">
      <c r="A5489" s="223" t="s">
        <v>260</v>
      </c>
      <c r="B5489" s="223">
        <v>21</v>
      </c>
      <c r="C5489" s="223">
        <v>27</v>
      </c>
      <c r="D5489" s="223">
        <v>4</v>
      </c>
      <c r="E5489" s="223">
        <v>78018</v>
      </c>
    </row>
    <row r="5490" spans="1:5" ht="15">
      <c r="A5490" s="223" t="s">
        <v>260</v>
      </c>
      <c r="B5490" s="223">
        <v>21</v>
      </c>
      <c r="C5490" s="223">
        <v>27</v>
      </c>
      <c r="D5490" s="223">
        <v>5</v>
      </c>
      <c r="E5490" s="223">
        <v>6250</v>
      </c>
    </row>
    <row r="5491" spans="1:5" ht="15">
      <c r="A5491" s="223" t="s">
        <v>260</v>
      </c>
      <c r="B5491" s="223">
        <v>21</v>
      </c>
      <c r="C5491" s="223">
        <v>27</v>
      </c>
      <c r="D5491" s="223">
        <v>7</v>
      </c>
      <c r="E5491" s="223">
        <v>3500</v>
      </c>
    </row>
    <row r="5492" spans="1:5" ht="15">
      <c r="A5492" s="223" t="s">
        <v>260</v>
      </c>
      <c r="B5492" s="223">
        <v>21</v>
      </c>
      <c r="C5492" s="223">
        <v>27</v>
      </c>
      <c r="D5492" s="223">
        <v>8</v>
      </c>
      <c r="E5492" s="223">
        <v>2000</v>
      </c>
    </row>
    <row r="5493" spans="1:5" ht="15">
      <c r="A5493" s="223" t="s">
        <v>260</v>
      </c>
      <c r="B5493" s="223">
        <v>24</v>
      </c>
      <c r="C5493" s="223">
        <v>27</v>
      </c>
      <c r="D5493" s="223">
        <v>3</v>
      </c>
      <c r="E5493" s="223">
        <v>43978</v>
      </c>
    </row>
    <row r="5494" spans="1:5" ht="15">
      <c r="A5494" s="223" t="s">
        <v>260</v>
      </c>
      <c r="B5494" s="223">
        <v>24</v>
      </c>
      <c r="C5494" s="223">
        <v>27</v>
      </c>
      <c r="D5494" s="223">
        <v>4</v>
      </c>
      <c r="E5494" s="223">
        <v>35694</v>
      </c>
    </row>
    <row r="5495" spans="1:5" ht="15">
      <c r="A5495" s="223" t="s">
        <v>262</v>
      </c>
      <c r="B5495" s="223">
        <v>21</v>
      </c>
      <c r="C5495" s="223">
        <v>21</v>
      </c>
      <c r="D5495" s="223">
        <v>2</v>
      </c>
      <c r="E5495" s="223">
        <v>48</v>
      </c>
    </row>
    <row r="5496" spans="1:5" ht="15">
      <c r="A5496" s="223" t="s">
        <v>262</v>
      </c>
      <c r="B5496" s="223">
        <v>21</v>
      </c>
      <c r="C5496" s="223">
        <v>21</v>
      </c>
      <c r="D5496" s="223">
        <v>4</v>
      </c>
      <c r="E5496" s="223">
        <v>11</v>
      </c>
    </row>
    <row r="5497" spans="1:5" ht="15">
      <c r="A5497" s="223" t="s">
        <v>262</v>
      </c>
      <c r="B5497" s="223">
        <v>21</v>
      </c>
      <c r="C5497" s="223">
        <v>26</v>
      </c>
      <c r="D5497" s="223">
        <v>7</v>
      </c>
      <c r="E5497" s="223">
        <v>250000</v>
      </c>
    </row>
    <row r="5498" spans="1:5" ht="15">
      <c r="A5498" s="223" t="s">
        <v>262</v>
      </c>
      <c r="B5498" s="223">
        <v>21</v>
      </c>
      <c r="C5498" s="223">
        <v>27</v>
      </c>
      <c r="D5498" s="223">
        <v>2</v>
      </c>
      <c r="E5498" s="223">
        <v>553576</v>
      </c>
    </row>
    <row r="5499" spans="1:5" ht="15">
      <c r="A5499" s="223" t="s">
        <v>262</v>
      </c>
      <c r="B5499" s="223">
        <v>21</v>
      </c>
      <c r="C5499" s="223">
        <v>27</v>
      </c>
      <c r="D5499" s="223">
        <v>3</v>
      </c>
      <c r="E5499" s="223">
        <v>612639</v>
      </c>
    </row>
    <row r="5500" spans="1:5" ht="15">
      <c r="A5500" s="223" t="s">
        <v>262</v>
      </c>
      <c r="B5500" s="223">
        <v>21</v>
      </c>
      <c r="C5500" s="223">
        <v>27</v>
      </c>
      <c r="D5500" s="223">
        <v>4</v>
      </c>
      <c r="E5500" s="223">
        <v>606213</v>
      </c>
    </row>
    <row r="5501" spans="1:5" ht="15">
      <c r="A5501" s="223" t="s">
        <v>262</v>
      </c>
      <c r="B5501" s="223">
        <v>21</v>
      </c>
      <c r="C5501" s="223">
        <v>27</v>
      </c>
      <c r="D5501" s="223">
        <v>5</v>
      </c>
      <c r="E5501" s="223">
        <v>12494</v>
      </c>
    </row>
    <row r="5502" spans="1:5" ht="15">
      <c r="A5502" s="223" t="s">
        <v>262</v>
      </c>
      <c r="B5502" s="223">
        <v>21</v>
      </c>
      <c r="C5502" s="223">
        <v>27</v>
      </c>
      <c r="D5502" s="223">
        <v>7</v>
      </c>
      <c r="E5502" s="223">
        <v>30418</v>
      </c>
    </row>
    <row r="5503" spans="1:5" ht="15">
      <c r="A5503" s="223" t="s">
        <v>262</v>
      </c>
      <c r="B5503" s="223">
        <v>21</v>
      </c>
      <c r="C5503" s="223">
        <v>31</v>
      </c>
      <c r="D5503" s="223">
        <v>7</v>
      </c>
      <c r="E5503" s="223">
        <v>1050</v>
      </c>
    </row>
    <row r="5504" spans="1:5" ht="15">
      <c r="A5504" s="223" t="s">
        <v>262</v>
      </c>
      <c r="B5504" s="223">
        <v>21</v>
      </c>
      <c r="C5504" s="223">
        <v>32</v>
      </c>
      <c r="D5504" s="223">
        <v>5</v>
      </c>
      <c r="E5504" s="223">
        <v>500</v>
      </c>
    </row>
    <row r="5505" spans="1:5" ht="15">
      <c r="A5505" s="223" t="s">
        <v>262</v>
      </c>
      <c r="B5505" s="223">
        <v>21</v>
      </c>
      <c r="C5505" s="223">
        <v>33</v>
      </c>
      <c r="D5505" s="223">
        <v>5</v>
      </c>
      <c r="E5505" s="223">
        <v>2000</v>
      </c>
    </row>
    <row r="5506" spans="1:5" ht="15">
      <c r="A5506" s="223" t="s">
        <v>262</v>
      </c>
      <c r="B5506" s="223">
        <v>21</v>
      </c>
      <c r="C5506" s="223">
        <v>33</v>
      </c>
      <c r="D5506" s="223">
        <v>7</v>
      </c>
      <c r="E5506" s="223">
        <v>1500</v>
      </c>
    </row>
    <row r="5507" spans="1:5" ht="15">
      <c r="A5507" s="223" t="s">
        <v>262</v>
      </c>
      <c r="B5507" s="223">
        <v>21</v>
      </c>
      <c r="C5507" s="223">
        <v>34</v>
      </c>
      <c r="D5507" s="223">
        <v>7</v>
      </c>
      <c r="E5507" s="223">
        <v>9082</v>
      </c>
    </row>
    <row r="5508" spans="1:5" ht="15">
      <c r="A5508" s="223" t="s">
        <v>262</v>
      </c>
      <c r="B5508" s="223">
        <v>24</v>
      </c>
      <c r="C5508" s="223">
        <v>26</v>
      </c>
      <c r="D5508" s="223">
        <v>7</v>
      </c>
      <c r="E5508" s="223">
        <v>260329</v>
      </c>
    </row>
    <row r="5509" spans="1:5" ht="15">
      <c r="A5509" s="223" t="s">
        <v>264</v>
      </c>
      <c r="B5509" s="223">
        <v>21</v>
      </c>
      <c r="C5509" s="223">
        <v>21</v>
      </c>
      <c r="D5509" s="223">
        <v>2</v>
      </c>
      <c r="E5509" s="223">
        <v>67801</v>
      </c>
    </row>
    <row r="5510" spans="1:5" ht="15">
      <c r="A5510" s="223" t="s">
        <v>264</v>
      </c>
      <c r="B5510" s="223">
        <v>21</v>
      </c>
      <c r="C5510" s="223">
        <v>21</v>
      </c>
      <c r="D5510" s="223">
        <v>3</v>
      </c>
      <c r="E5510" s="223">
        <v>47694</v>
      </c>
    </row>
    <row r="5511" spans="1:5" ht="15">
      <c r="A5511" s="223" t="s">
        <v>264</v>
      </c>
      <c r="B5511" s="223">
        <v>21</v>
      </c>
      <c r="C5511" s="223">
        <v>21</v>
      </c>
      <c r="D5511" s="223">
        <v>4</v>
      </c>
      <c r="E5511" s="223">
        <v>41109</v>
      </c>
    </row>
    <row r="5512" spans="1:5" ht="15">
      <c r="A5512" s="223" t="s">
        <v>264</v>
      </c>
      <c r="B5512" s="223">
        <v>21</v>
      </c>
      <c r="C5512" s="223">
        <v>21</v>
      </c>
      <c r="D5512" s="223">
        <v>5</v>
      </c>
      <c r="E5512" s="223">
        <v>3000</v>
      </c>
    </row>
    <row r="5513" spans="1:5" ht="15">
      <c r="A5513" s="223" t="s">
        <v>264</v>
      </c>
      <c r="B5513" s="223">
        <v>21</v>
      </c>
      <c r="C5513" s="223">
        <v>21</v>
      </c>
      <c r="D5513" s="223">
        <v>7</v>
      </c>
      <c r="E5513" s="223">
        <v>4000</v>
      </c>
    </row>
    <row r="5514" spans="1:5" ht="15">
      <c r="A5514" s="223" t="s">
        <v>264</v>
      </c>
      <c r="B5514" s="223">
        <v>21</v>
      </c>
      <c r="C5514" s="223">
        <v>21</v>
      </c>
      <c r="D5514" s="223">
        <v>8</v>
      </c>
      <c r="E5514" s="223">
        <v>1500</v>
      </c>
    </row>
    <row r="5515" spans="1:5" ht="15">
      <c r="A5515" s="223" t="s">
        <v>264</v>
      </c>
      <c r="B5515" s="223">
        <v>21</v>
      </c>
      <c r="C5515" s="223">
        <v>26</v>
      </c>
      <c r="D5515" s="223">
        <v>3</v>
      </c>
      <c r="E5515" s="223">
        <v>69251</v>
      </c>
    </row>
    <row r="5516" spans="1:5" ht="15">
      <c r="A5516" s="223" t="s">
        <v>264</v>
      </c>
      <c r="B5516" s="223">
        <v>21</v>
      </c>
      <c r="C5516" s="223">
        <v>26</v>
      </c>
      <c r="D5516" s="223">
        <v>4</v>
      </c>
      <c r="E5516" s="223">
        <v>19269</v>
      </c>
    </row>
    <row r="5517" spans="1:5" ht="15">
      <c r="A5517" s="223" t="s">
        <v>264</v>
      </c>
      <c r="B5517" s="223">
        <v>21</v>
      </c>
      <c r="C5517" s="223">
        <v>26</v>
      </c>
      <c r="D5517" s="223">
        <v>5</v>
      </c>
      <c r="E5517" s="223">
        <v>500</v>
      </c>
    </row>
    <row r="5518" spans="1:5" ht="15">
      <c r="A5518" s="223" t="s">
        <v>264</v>
      </c>
      <c r="B5518" s="223">
        <v>21</v>
      </c>
      <c r="C5518" s="223">
        <v>26</v>
      </c>
      <c r="D5518" s="223">
        <v>7</v>
      </c>
      <c r="E5518" s="223">
        <v>500</v>
      </c>
    </row>
    <row r="5519" spans="1:5" ht="15">
      <c r="A5519" s="223" t="s">
        <v>264</v>
      </c>
      <c r="B5519" s="223">
        <v>21</v>
      </c>
      <c r="C5519" s="223">
        <v>26</v>
      </c>
      <c r="D5519" s="223">
        <v>8</v>
      </c>
      <c r="E5519" s="223">
        <v>100</v>
      </c>
    </row>
    <row r="5520" spans="1:5" ht="15">
      <c r="A5520" s="223" t="s">
        <v>264</v>
      </c>
      <c r="B5520" s="223">
        <v>21</v>
      </c>
      <c r="C5520" s="223">
        <v>27</v>
      </c>
      <c r="D5520" s="223">
        <v>2</v>
      </c>
      <c r="E5520" s="223">
        <v>223399</v>
      </c>
    </row>
    <row r="5521" spans="1:5" ht="15">
      <c r="A5521" s="223" t="s">
        <v>264</v>
      </c>
      <c r="B5521" s="223">
        <v>21</v>
      </c>
      <c r="C5521" s="223">
        <v>27</v>
      </c>
      <c r="D5521" s="223">
        <v>3</v>
      </c>
      <c r="E5521" s="223">
        <v>288597</v>
      </c>
    </row>
    <row r="5522" spans="1:5" ht="15">
      <c r="A5522" s="223" t="s">
        <v>264</v>
      </c>
      <c r="B5522" s="223">
        <v>21</v>
      </c>
      <c r="C5522" s="223">
        <v>27</v>
      </c>
      <c r="D5522" s="223">
        <v>4</v>
      </c>
      <c r="E5522" s="223">
        <v>297600</v>
      </c>
    </row>
    <row r="5523" spans="1:5" ht="15">
      <c r="A5523" s="223" t="s">
        <v>264</v>
      </c>
      <c r="B5523" s="223">
        <v>21</v>
      </c>
      <c r="C5523" s="223">
        <v>27</v>
      </c>
      <c r="D5523" s="223">
        <v>5</v>
      </c>
      <c r="E5523" s="223">
        <v>30743</v>
      </c>
    </row>
    <row r="5524" spans="1:5" ht="15">
      <c r="A5524" s="223" t="s">
        <v>264</v>
      </c>
      <c r="B5524" s="223">
        <v>21</v>
      </c>
      <c r="C5524" s="223">
        <v>27</v>
      </c>
      <c r="D5524" s="223">
        <v>7</v>
      </c>
      <c r="E5524" s="223">
        <v>164775</v>
      </c>
    </row>
    <row r="5525" spans="1:5" ht="15">
      <c r="A5525" s="223" t="s">
        <v>264</v>
      </c>
      <c r="B5525" s="223">
        <v>21</v>
      </c>
      <c r="C5525" s="223">
        <v>27</v>
      </c>
      <c r="D5525" s="223">
        <v>8</v>
      </c>
      <c r="E5525" s="223">
        <v>1000</v>
      </c>
    </row>
    <row r="5526" spans="1:5" ht="15">
      <c r="A5526" s="223" t="s">
        <v>264</v>
      </c>
      <c r="B5526" s="223">
        <v>21</v>
      </c>
      <c r="C5526" s="223">
        <v>31</v>
      </c>
      <c r="D5526" s="223">
        <v>7</v>
      </c>
      <c r="E5526" s="223">
        <v>19437</v>
      </c>
    </row>
    <row r="5527" spans="1:5" ht="15">
      <c r="A5527" s="223" t="s">
        <v>264</v>
      </c>
      <c r="B5527" s="223">
        <v>21</v>
      </c>
      <c r="C5527" s="223">
        <v>31</v>
      </c>
      <c r="D5527" s="223">
        <v>8</v>
      </c>
      <c r="E5527" s="223">
        <v>3500</v>
      </c>
    </row>
    <row r="5528" spans="1:5" ht="15">
      <c r="A5528" s="223" t="s">
        <v>264</v>
      </c>
      <c r="B5528" s="223">
        <v>21</v>
      </c>
      <c r="C5528" s="223">
        <v>32</v>
      </c>
      <c r="D5528" s="223">
        <v>5</v>
      </c>
      <c r="E5528" s="223">
        <v>17500</v>
      </c>
    </row>
    <row r="5529" spans="1:5" ht="15">
      <c r="A5529" s="223" t="s">
        <v>264</v>
      </c>
      <c r="B5529" s="223">
        <v>21</v>
      </c>
      <c r="C5529" s="223">
        <v>32</v>
      </c>
      <c r="D5529" s="223">
        <v>7</v>
      </c>
      <c r="E5529" s="223">
        <v>2400</v>
      </c>
    </row>
    <row r="5530" spans="1:5" ht="15">
      <c r="A5530" s="223" t="s">
        <v>264</v>
      </c>
      <c r="B5530" s="223">
        <v>21</v>
      </c>
      <c r="C5530" s="223">
        <v>34</v>
      </c>
      <c r="D5530" s="223">
        <v>2</v>
      </c>
      <c r="E5530" s="223">
        <v>3360</v>
      </c>
    </row>
    <row r="5531" spans="1:5" ht="15">
      <c r="A5531" s="223" t="s">
        <v>264</v>
      </c>
      <c r="B5531" s="223">
        <v>21</v>
      </c>
      <c r="C5531" s="223">
        <v>34</v>
      </c>
      <c r="D5531" s="223">
        <v>4</v>
      </c>
      <c r="E5531" s="223">
        <v>688</v>
      </c>
    </row>
    <row r="5532" spans="1:5" ht="15">
      <c r="A5532" s="223" t="s">
        <v>264</v>
      </c>
      <c r="B5532" s="223">
        <v>23</v>
      </c>
      <c r="C5532" s="223">
        <v>27</v>
      </c>
      <c r="D5532" s="223">
        <v>2</v>
      </c>
      <c r="E5532" s="223">
        <v>34559</v>
      </c>
    </row>
    <row r="5533" spans="1:5" ht="15">
      <c r="A5533" s="223" t="s">
        <v>264</v>
      </c>
      <c r="B5533" s="223">
        <v>23</v>
      </c>
      <c r="C5533" s="223">
        <v>27</v>
      </c>
      <c r="D5533" s="223">
        <v>4</v>
      </c>
      <c r="E5533" s="223">
        <v>18872</v>
      </c>
    </row>
    <row r="5534" spans="1:5" ht="15">
      <c r="A5534" s="223" t="s">
        <v>264</v>
      </c>
      <c r="B5534" s="223">
        <v>23</v>
      </c>
      <c r="C5534" s="223">
        <v>27</v>
      </c>
      <c r="D5534" s="223">
        <v>5</v>
      </c>
      <c r="E5534" s="223">
        <v>1478</v>
      </c>
    </row>
    <row r="5535" spans="1:5" ht="15">
      <c r="A5535" s="223" t="s">
        <v>264</v>
      </c>
      <c r="B5535" s="223">
        <v>23</v>
      </c>
      <c r="C5535" s="223">
        <v>31</v>
      </c>
      <c r="D5535" s="223">
        <v>2</v>
      </c>
      <c r="E5535" s="223">
        <v>563</v>
      </c>
    </row>
    <row r="5536" spans="1:5" ht="15">
      <c r="A5536" s="223" t="s">
        <v>264</v>
      </c>
      <c r="B5536" s="223">
        <v>23</v>
      </c>
      <c r="C5536" s="223">
        <v>31</v>
      </c>
      <c r="D5536" s="223">
        <v>4</v>
      </c>
      <c r="E5536" s="223">
        <v>137</v>
      </c>
    </row>
    <row r="5537" spans="1:5" ht="15">
      <c r="A5537" s="223" t="s">
        <v>264</v>
      </c>
      <c r="B5537" s="223">
        <v>24</v>
      </c>
      <c r="C5537" s="223">
        <v>27</v>
      </c>
      <c r="D5537" s="223">
        <v>2</v>
      </c>
      <c r="E5537" s="223">
        <v>153661</v>
      </c>
    </row>
    <row r="5538" spans="1:5" ht="15">
      <c r="A5538" s="223" t="s">
        <v>264</v>
      </c>
      <c r="B5538" s="223">
        <v>24</v>
      </c>
      <c r="C5538" s="223">
        <v>27</v>
      </c>
      <c r="D5538" s="223">
        <v>3</v>
      </c>
      <c r="E5538" s="223">
        <v>9735</v>
      </c>
    </row>
    <row r="5539" spans="1:5" ht="15">
      <c r="A5539" s="223" t="s">
        <v>264</v>
      </c>
      <c r="B5539" s="223">
        <v>24</v>
      </c>
      <c r="C5539" s="223">
        <v>27</v>
      </c>
      <c r="D5539" s="223">
        <v>4</v>
      </c>
      <c r="E5539" s="223">
        <v>71111</v>
      </c>
    </row>
    <row r="5540" spans="1:5" ht="15">
      <c r="A5540" s="223" t="s">
        <v>264</v>
      </c>
      <c r="B5540" s="223">
        <v>24</v>
      </c>
      <c r="C5540" s="223">
        <v>27</v>
      </c>
      <c r="D5540" s="223">
        <v>5</v>
      </c>
      <c r="E5540" s="223">
        <v>1847</v>
      </c>
    </row>
    <row r="5541" spans="1:5" ht="15">
      <c r="A5541" s="223" t="s">
        <v>264</v>
      </c>
      <c r="B5541" s="223">
        <v>24</v>
      </c>
      <c r="C5541" s="223">
        <v>31</v>
      </c>
      <c r="D5541" s="223">
        <v>2</v>
      </c>
      <c r="E5541" s="223">
        <v>2395</v>
      </c>
    </row>
    <row r="5542" spans="1:5" ht="15">
      <c r="A5542" s="223" t="s">
        <v>264</v>
      </c>
      <c r="B5542" s="223">
        <v>24</v>
      </c>
      <c r="C5542" s="223">
        <v>31</v>
      </c>
      <c r="D5542" s="223">
        <v>4</v>
      </c>
      <c r="E5542" s="223">
        <v>593</v>
      </c>
    </row>
    <row r="5543" spans="1:5" ht="15">
      <c r="A5543" s="223" t="s">
        <v>266</v>
      </c>
      <c r="B5543" s="223">
        <v>21</v>
      </c>
      <c r="C5543" s="223">
        <v>21</v>
      </c>
      <c r="D5543" s="223">
        <v>2</v>
      </c>
      <c r="E5543" s="223">
        <v>328642</v>
      </c>
    </row>
    <row r="5544" spans="1:5" ht="15">
      <c r="A5544" s="223" t="s">
        <v>266</v>
      </c>
      <c r="B5544" s="223">
        <v>21</v>
      </c>
      <c r="C5544" s="223">
        <v>21</v>
      </c>
      <c r="D5544" s="223">
        <v>3</v>
      </c>
      <c r="E5544" s="223">
        <v>156193</v>
      </c>
    </row>
    <row r="5545" spans="1:5" ht="15">
      <c r="A5545" s="223" t="s">
        <v>266</v>
      </c>
      <c r="B5545" s="223">
        <v>21</v>
      </c>
      <c r="C5545" s="223">
        <v>21</v>
      </c>
      <c r="D5545" s="223">
        <v>4</v>
      </c>
      <c r="E5545" s="223">
        <v>159204</v>
      </c>
    </row>
    <row r="5546" spans="1:5" ht="15">
      <c r="A5546" s="223" t="s">
        <v>266</v>
      </c>
      <c r="B5546" s="223">
        <v>21</v>
      </c>
      <c r="C5546" s="223">
        <v>21</v>
      </c>
      <c r="D5546" s="223">
        <v>5</v>
      </c>
      <c r="E5546" s="223">
        <v>10000</v>
      </c>
    </row>
    <row r="5547" spans="1:5" ht="15">
      <c r="A5547" s="223" t="s">
        <v>266</v>
      </c>
      <c r="B5547" s="223">
        <v>21</v>
      </c>
      <c r="C5547" s="223">
        <v>26</v>
      </c>
      <c r="D5547" s="223">
        <v>2</v>
      </c>
      <c r="E5547" s="223">
        <v>673683</v>
      </c>
    </row>
    <row r="5548" spans="1:5" ht="15">
      <c r="A5548" s="223" t="s">
        <v>266</v>
      </c>
      <c r="B5548" s="223">
        <v>21</v>
      </c>
      <c r="C5548" s="223">
        <v>26</v>
      </c>
      <c r="D5548" s="223">
        <v>3</v>
      </c>
      <c r="E5548" s="223">
        <v>31812</v>
      </c>
    </row>
    <row r="5549" spans="1:5" ht="15">
      <c r="A5549" s="223" t="s">
        <v>266</v>
      </c>
      <c r="B5549" s="223">
        <v>21</v>
      </c>
      <c r="C5549" s="223">
        <v>26</v>
      </c>
      <c r="D5549" s="223">
        <v>4</v>
      </c>
      <c r="E5549" s="223">
        <v>270440</v>
      </c>
    </row>
    <row r="5550" spans="1:5" ht="15">
      <c r="A5550" s="223" t="s">
        <v>266</v>
      </c>
      <c r="B5550" s="223">
        <v>21</v>
      </c>
      <c r="C5550" s="223">
        <v>26</v>
      </c>
      <c r="D5550" s="223">
        <v>5</v>
      </c>
      <c r="E5550" s="223">
        <v>11000</v>
      </c>
    </row>
    <row r="5551" spans="1:5" ht="15">
      <c r="A5551" s="223" t="s">
        <v>266</v>
      </c>
      <c r="B5551" s="223">
        <v>21</v>
      </c>
      <c r="C5551" s="223">
        <v>26</v>
      </c>
      <c r="D5551" s="223">
        <v>7</v>
      </c>
      <c r="E5551" s="223">
        <v>226310</v>
      </c>
    </row>
    <row r="5552" spans="1:5" ht="15">
      <c r="A5552" s="223" t="s">
        <v>266</v>
      </c>
      <c r="B5552" s="223">
        <v>21</v>
      </c>
      <c r="C5552" s="223">
        <v>27</v>
      </c>
      <c r="D5552" s="223">
        <v>0</v>
      </c>
      <c r="E5552" s="223">
        <v>7000</v>
      </c>
    </row>
    <row r="5553" spans="1:5" ht="15">
      <c r="A5553" s="223" t="s">
        <v>266</v>
      </c>
      <c r="B5553" s="223">
        <v>21</v>
      </c>
      <c r="C5553" s="223">
        <v>27</v>
      </c>
      <c r="D5553" s="223">
        <v>2</v>
      </c>
      <c r="E5553" s="223">
        <v>1512408</v>
      </c>
    </row>
    <row r="5554" spans="1:5" ht="15">
      <c r="A5554" s="223" t="s">
        <v>266</v>
      </c>
      <c r="B5554" s="223">
        <v>21</v>
      </c>
      <c r="C5554" s="223">
        <v>27</v>
      </c>
      <c r="D5554" s="223">
        <v>3</v>
      </c>
      <c r="E5554" s="223">
        <v>519212</v>
      </c>
    </row>
    <row r="5555" spans="1:5" ht="15">
      <c r="A5555" s="223" t="s">
        <v>266</v>
      </c>
      <c r="B5555" s="223">
        <v>21</v>
      </c>
      <c r="C5555" s="223">
        <v>27</v>
      </c>
      <c r="D5555" s="223">
        <v>4</v>
      </c>
      <c r="E5555" s="223">
        <v>740810</v>
      </c>
    </row>
    <row r="5556" spans="1:5" ht="15">
      <c r="A5556" s="223" t="s">
        <v>266</v>
      </c>
      <c r="B5556" s="223">
        <v>21</v>
      </c>
      <c r="C5556" s="223">
        <v>27</v>
      </c>
      <c r="D5556" s="223">
        <v>5</v>
      </c>
      <c r="E5556" s="223">
        <v>21500</v>
      </c>
    </row>
    <row r="5557" spans="1:5" ht="15">
      <c r="A5557" s="223" t="s">
        <v>266</v>
      </c>
      <c r="B5557" s="223">
        <v>21</v>
      </c>
      <c r="C5557" s="223">
        <v>27</v>
      </c>
      <c r="D5557" s="223">
        <v>7</v>
      </c>
      <c r="E5557" s="223">
        <v>72200</v>
      </c>
    </row>
    <row r="5558" spans="1:5" ht="15">
      <c r="A5558" s="223" t="s">
        <v>266</v>
      </c>
      <c r="B5558" s="223">
        <v>21</v>
      </c>
      <c r="C5558" s="223">
        <v>31</v>
      </c>
      <c r="D5558" s="223">
        <v>7</v>
      </c>
      <c r="E5558" s="223">
        <v>8000</v>
      </c>
    </row>
    <row r="5559" spans="1:5" ht="15">
      <c r="A5559" s="223" t="s">
        <v>266</v>
      </c>
      <c r="B5559" s="223">
        <v>24</v>
      </c>
      <c r="C5559" s="223">
        <v>27</v>
      </c>
      <c r="D5559" s="223">
        <v>3</v>
      </c>
      <c r="E5559" s="223">
        <v>702628</v>
      </c>
    </row>
    <row r="5560" spans="1:5" ht="15">
      <c r="A5560" s="223" t="s">
        <v>266</v>
      </c>
      <c r="B5560" s="223">
        <v>24</v>
      </c>
      <c r="C5560" s="223">
        <v>27</v>
      </c>
      <c r="D5560" s="223">
        <v>4</v>
      </c>
      <c r="E5560" s="223">
        <v>429965</v>
      </c>
    </row>
    <row r="5561" spans="1:5" ht="15">
      <c r="A5561" s="223" t="s">
        <v>266</v>
      </c>
      <c r="B5561" s="223">
        <v>24</v>
      </c>
      <c r="C5561" s="223">
        <v>27</v>
      </c>
      <c r="D5561" s="223">
        <v>5</v>
      </c>
      <c r="E5561" s="223">
        <v>78899</v>
      </c>
    </row>
    <row r="5562" spans="1:5" ht="15">
      <c r="A5562" s="223" t="s">
        <v>266</v>
      </c>
      <c r="B5562" s="223">
        <v>29</v>
      </c>
      <c r="C5562" s="223">
        <v>25</v>
      </c>
      <c r="D5562" s="223">
        <v>3</v>
      </c>
      <c r="E5562" s="223">
        <v>43000</v>
      </c>
    </row>
    <row r="5563" spans="1:5" ht="15">
      <c r="A5563" s="223" t="s">
        <v>266</v>
      </c>
      <c r="B5563" s="223">
        <v>29</v>
      </c>
      <c r="C5563" s="223">
        <v>27</v>
      </c>
      <c r="D5563" s="223">
        <v>5</v>
      </c>
      <c r="E5563" s="223">
        <v>70153</v>
      </c>
    </row>
    <row r="5564" spans="1:5" ht="15">
      <c r="A5564" s="223" t="s">
        <v>268</v>
      </c>
      <c r="B5564" s="223">
        <v>21</v>
      </c>
      <c r="C5564" s="223">
        <v>21</v>
      </c>
      <c r="D5564" s="223">
        <v>2</v>
      </c>
      <c r="E5564" s="223">
        <v>28662</v>
      </c>
    </row>
    <row r="5565" spans="1:5" ht="15">
      <c r="A5565" s="223" t="s">
        <v>268</v>
      </c>
      <c r="B5565" s="223">
        <v>21</v>
      </c>
      <c r="C5565" s="223">
        <v>21</v>
      </c>
      <c r="D5565" s="223">
        <v>4</v>
      </c>
      <c r="E5565" s="223">
        <v>9545</v>
      </c>
    </row>
    <row r="5566" spans="1:5" ht="15">
      <c r="A5566" s="223" t="s">
        <v>268</v>
      </c>
      <c r="B5566" s="223">
        <v>21</v>
      </c>
      <c r="C5566" s="223">
        <v>27</v>
      </c>
      <c r="D5566" s="223">
        <v>2</v>
      </c>
      <c r="E5566" s="223">
        <v>113583</v>
      </c>
    </row>
    <row r="5567" spans="1:5" ht="15">
      <c r="A5567" s="223" t="s">
        <v>268</v>
      </c>
      <c r="B5567" s="223">
        <v>21</v>
      </c>
      <c r="C5567" s="223">
        <v>27</v>
      </c>
      <c r="D5567" s="223">
        <v>3</v>
      </c>
      <c r="E5567" s="223">
        <v>67336</v>
      </c>
    </row>
    <row r="5568" spans="1:5" ht="15">
      <c r="A5568" s="223" t="s">
        <v>268</v>
      </c>
      <c r="B5568" s="223">
        <v>21</v>
      </c>
      <c r="C5568" s="223">
        <v>27</v>
      </c>
      <c r="D5568" s="223">
        <v>4</v>
      </c>
      <c r="E5568" s="223">
        <v>93222</v>
      </c>
    </row>
    <row r="5569" spans="1:5" ht="15">
      <c r="A5569" s="223" t="s">
        <v>268</v>
      </c>
      <c r="B5569" s="223">
        <v>21</v>
      </c>
      <c r="C5569" s="223">
        <v>27</v>
      </c>
      <c r="D5569" s="223">
        <v>5</v>
      </c>
      <c r="E5569" s="223">
        <v>3000</v>
      </c>
    </row>
    <row r="5570" spans="1:5" ht="15">
      <c r="A5570" s="223" t="s">
        <v>268</v>
      </c>
      <c r="B5570" s="223">
        <v>21</v>
      </c>
      <c r="C5570" s="223">
        <v>27</v>
      </c>
      <c r="D5570" s="223">
        <v>7</v>
      </c>
      <c r="E5570" s="223">
        <v>41000</v>
      </c>
    </row>
    <row r="5571" spans="1:5" ht="15">
      <c r="A5571" s="223" t="s">
        <v>268</v>
      </c>
      <c r="B5571" s="223">
        <v>24</v>
      </c>
      <c r="C5571" s="223">
        <v>26</v>
      </c>
      <c r="D5571" s="223">
        <v>7</v>
      </c>
      <c r="E5571" s="223">
        <v>37000</v>
      </c>
    </row>
    <row r="5572" spans="1:5" ht="15">
      <c r="A5572" s="223" t="s">
        <v>185</v>
      </c>
      <c r="B5572" s="223">
        <v>21</v>
      </c>
      <c r="C5572" s="223">
        <v>29</v>
      </c>
      <c r="D5572" s="223">
        <v>7</v>
      </c>
      <c r="E5572" s="223">
        <v>1025573</v>
      </c>
    </row>
    <row r="5573" spans="1:5" ht="15">
      <c r="A5573" s="223" t="s">
        <v>187</v>
      </c>
      <c r="B5573" s="223">
        <v>21</v>
      </c>
      <c r="C5573" s="223">
        <v>29</v>
      </c>
      <c r="D5573" s="223">
        <v>7</v>
      </c>
      <c r="E5573" s="223">
        <v>217751</v>
      </c>
    </row>
    <row r="5574" spans="1:5" ht="15">
      <c r="A5574" s="223" t="s">
        <v>566</v>
      </c>
      <c r="B5574" s="223">
        <v>21</v>
      </c>
      <c r="C5574" s="223">
        <v>21</v>
      </c>
      <c r="D5574" s="223">
        <v>2</v>
      </c>
      <c r="E5574" s="223">
        <v>137541</v>
      </c>
    </row>
    <row r="5575" spans="1:5" ht="15">
      <c r="A5575" s="223" t="s">
        <v>566</v>
      </c>
      <c r="B5575" s="223">
        <v>21</v>
      </c>
      <c r="C5575" s="223">
        <v>21</v>
      </c>
      <c r="D5575" s="223">
        <v>3</v>
      </c>
      <c r="E5575" s="223">
        <v>80196</v>
      </c>
    </row>
    <row r="5576" spans="1:5" ht="15">
      <c r="A5576" s="223" t="s">
        <v>566</v>
      </c>
      <c r="B5576" s="223">
        <v>21</v>
      </c>
      <c r="C5576" s="223">
        <v>21</v>
      </c>
      <c r="D5576" s="223">
        <v>4</v>
      </c>
      <c r="E5576" s="223">
        <v>69824</v>
      </c>
    </row>
    <row r="5577" spans="1:5" ht="15">
      <c r="A5577" s="223" t="s">
        <v>566</v>
      </c>
      <c r="B5577" s="223">
        <v>21</v>
      </c>
      <c r="C5577" s="223">
        <v>26</v>
      </c>
      <c r="D5577" s="223">
        <v>2</v>
      </c>
      <c r="E5577" s="223">
        <v>1095384</v>
      </c>
    </row>
    <row r="5578" spans="1:5" ht="15">
      <c r="A5578" s="223" t="s">
        <v>566</v>
      </c>
      <c r="B5578" s="223">
        <v>21</v>
      </c>
      <c r="C5578" s="223">
        <v>26</v>
      </c>
      <c r="D5578" s="223">
        <v>4</v>
      </c>
      <c r="E5578" s="223">
        <v>375074</v>
      </c>
    </row>
    <row r="5579" spans="1:5" ht="15">
      <c r="A5579" s="223" t="s">
        <v>566</v>
      </c>
      <c r="B5579" s="223">
        <v>21</v>
      </c>
      <c r="C5579" s="223">
        <v>26</v>
      </c>
      <c r="D5579" s="223">
        <v>5</v>
      </c>
      <c r="E5579" s="223">
        <v>12000</v>
      </c>
    </row>
    <row r="5580" spans="1:5" ht="15">
      <c r="A5580" s="223" t="s">
        <v>566</v>
      </c>
      <c r="B5580" s="223">
        <v>21</v>
      </c>
      <c r="C5580" s="223">
        <v>26</v>
      </c>
      <c r="D5580" s="223">
        <v>7</v>
      </c>
      <c r="E5580" s="223">
        <v>525000</v>
      </c>
    </row>
    <row r="5581" spans="1:5" ht="15">
      <c r="A5581" s="223" t="s">
        <v>566</v>
      </c>
      <c r="B5581" s="223">
        <v>21</v>
      </c>
      <c r="C5581" s="223">
        <v>27</v>
      </c>
      <c r="D5581" s="223">
        <v>2</v>
      </c>
      <c r="E5581" s="223">
        <v>1454749</v>
      </c>
    </row>
    <row r="5582" spans="1:5" ht="15">
      <c r="A5582" s="223" t="s">
        <v>566</v>
      </c>
      <c r="B5582" s="223">
        <v>21</v>
      </c>
      <c r="C5582" s="223">
        <v>27</v>
      </c>
      <c r="D5582" s="223">
        <v>3</v>
      </c>
      <c r="E5582" s="223">
        <v>1114442</v>
      </c>
    </row>
    <row r="5583" spans="1:5" ht="15">
      <c r="A5583" s="223" t="s">
        <v>566</v>
      </c>
      <c r="B5583" s="223">
        <v>21</v>
      </c>
      <c r="C5583" s="223">
        <v>27</v>
      </c>
      <c r="D5583" s="223">
        <v>4</v>
      </c>
      <c r="E5583" s="223">
        <v>1067992</v>
      </c>
    </row>
    <row r="5584" spans="1:5" ht="15">
      <c r="A5584" s="223" t="s">
        <v>566</v>
      </c>
      <c r="B5584" s="223">
        <v>21</v>
      </c>
      <c r="C5584" s="223">
        <v>27</v>
      </c>
      <c r="D5584" s="223">
        <v>5</v>
      </c>
      <c r="E5584" s="223">
        <v>4500</v>
      </c>
    </row>
    <row r="5585" spans="1:5" ht="15">
      <c r="A5585" s="223" t="s">
        <v>566</v>
      </c>
      <c r="B5585" s="223">
        <v>21</v>
      </c>
      <c r="C5585" s="223">
        <v>27</v>
      </c>
      <c r="D5585" s="223">
        <v>7</v>
      </c>
      <c r="E5585" s="223">
        <v>390000</v>
      </c>
    </row>
    <row r="5586" spans="1:5" ht="15">
      <c r="A5586" s="223" t="s">
        <v>566</v>
      </c>
      <c r="B5586" s="223">
        <v>21</v>
      </c>
      <c r="C5586" s="223">
        <v>31</v>
      </c>
      <c r="D5586" s="223">
        <v>7</v>
      </c>
      <c r="E5586" s="223">
        <v>2600</v>
      </c>
    </row>
    <row r="5587" spans="1:5" ht="15">
      <c r="A5587" s="223" t="s">
        <v>566</v>
      </c>
      <c r="B5587" s="223">
        <v>24</v>
      </c>
      <c r="C5587" s="223">
        <v>26</v>
      </c>
      <c r="D5587" s="223">
        <v>7</v>
      </c>
      <c r="E5587" s="223">
        <v>380000</v>
      </c>
    </row>
    <row r="5588" spans="1:5" ht="15">
      <c r="A5588" s="223" t="s">
        <v>566</v>
      </c>
      <c r="B5588" s="223">
        <v>24</v>
      </c>
      <c r="C5588" s="223">
        <v>27</v>
      </c>
      <c r="D5588" s="223">
        <v>3</v>
      </c>
      <c r="E5588" s="223">
        <v>23685</v>
      </c>
    </row>
    <row r="5589" spans="1:5" ht="15">
      <c r="A5589" s="223" t="s">
        <v>566</v>
      </c>
      <c r="B5589" s="223">
        <v>24</v>
      </c>
      <c r="C5589" s="223">
        <v>27</v>
      </c>
      <c r="D5589" s="223">
        <v>4</v>
      </c>
      <c r="E5589" s="223">
        <v>11082</v>
      </c>
    </row>
    <row r="5590" spans="1:5" ht="15">
      <c r="A5590" s="223" t="s">
        <v>566</v>
      </c>
      <c r="B5590" s="223">
        <v>24</v>
      </c>
      <c r="C5590" s="223">
        <v>27</v>
      </c>
      <c r="D5590" s="223">
        <v>7</v>
      </c>
      <c r="E5590" s="223">
        <v>395000</v>
      </c>
    </row>
    <row r="5591" spans="1:5" ht="15">
      <c r="A5591" s="223" t="s">
        <v>189</v>
      </c>
      <c r="B5591" s="223">
        <v>21</v>
      </c>
      <c r="C5591" s="223">
        <v>21</v>
      </c>
      <c r="D5591" s="223">
        <v>2</v>
      </c>
      <c r="E5591" s="223">
        <v>163204</v>
      </c>
    </row>
    <row r="5592" spans="1:5" ht="15">
      <c r="A5592" s="223" t="s">
        <v>189</v>
      </c>
      <c r="B5592" s="223">
        <v>21</v>
      </c>
      <c r="C5592" s="223">
        <v>21</v>
      </c>
      <c r="D5592" s="223">
        <v>3</v>
      </c>
      <c r="E5592" s="223">
        <v>290283</v>
      </c>
    </row>
    <row r="5593" spans="1:5" ht="15">
      <c r="A5593" s="223" t="s">
        <v>189</v>
      </c>
      <c r="B5593" s="223">
        <v>21</v>
      </c>
      <c r="C5593" s="223">
        <v>21</v>
      </c>
      <c r="D5593" s="223">
        <v>4</v>
      </c>
      <c r="E5593" s="223">
        <v>168743</v>
      </c>
    </row>
    <row r="5594" spans="1:5" ht="15">
      <c r="A5594" s="223" t="s">
        <v>189</v>
      </c>
      <c r="B5594" s="223">
        <v>21</v>
      </c>
      <c r="C5594" s="223">
        <v>21</v>
      </c>
      <c r="D5594" s="223">
        <v>5</v>
      </c>
      <c r="E5594" s="223">
        <v>17800</v>
      </c>
    </row>
    <row r="5595" spans="1:5" ht="15">
      <c r="A5595" s="223" t="s">
        <v>189</v>
      </c>
      <c r="B5595" s="223">
        <v>21</v>
      </c>
      <c r="C5595" s="223">
        <v>21</v>
      </c>
      <c r="D5595" s="223">
        <v>7</v>
      </c>
      <c r="E5595" s="223">
        <v>330262</v>
      </c>
    </row>
    <row r="5596" spans="1:5" ht="15">
      <c r="A5596" s="223" t="s">
        <v>189</v>
      </c>
      <c r="B5596" s="223">
        <v>21</v>
      </c>
      <c r="C5596" s="223">
        <v>21</v>
      </c>
      <c r="D5596" s="223">
        <v>8</v>
      </c>
      <c r="E5596" s="223">
        <v>500</v>
      </c>
    </row>
    <row r="5597" spans="1:5" ht="15">
      <c r="A5597" s="223" t="s">
        <v>189</v>
      </c>
      <c r="B5597" s="223">
        <v>21</v>
      </c>
      <c r="C5597" s="223">
        <v>25</v>
      </c>
      <c r="D5597" s="223">
        <v>3</v>
      </c>
      <c r="E5597" s="223">
        <v>64721</v>
      </c>
    </row>
    <row r="5598" spans="1:5" ht="15">
      <c r="A5598" s="223" t="s">
        <v>189</v>
      </c>
      <c r="B5598" s="223">
        <v>21</v>
      </c>
      <c r="C5598" s="223">
        <v>25</v>
      </c>
      <c r="D5598" s="223">
        <v>4</v>
      </c>
      <c r="E5598" s="223">
        <v>38050</v>
      </c>
    </row>
    <row r="5599" spans="1:5" ht="15">
      <c r="A5599" s="223" t="s">
        <v>189</v>
      </c>
      <c r="B5599" s="223">
        <v>21</v>
      </c>
      <c r="C5599" s="223">
        <v>26</v>
      </c>
      <c r="D5599" s="223">
        <v>2</v>
      </c>
      <c r="E5599" s="223">
        <v>1447906</v>
      </c>
    </row>
    <row r="5600" spans="1:5" ht="15">
      <c r="A5600" s="223" t="s">
        <v>189</v>
      </c>
      <c r="B5600" s="223">
        <v>21</v>
      </c>
      <c r="C5600" s="223">
        <v>26</v>
      </c>
      <c r="D5600" s="223">
        <v>3</v>
      </c>
      <c r="E5600" s="223">
        <v>10000</v>
      </c>
    </row>
    <row r="5601" spans="1:5" ht="15">
      <c r="A5601" s="223" t="s">
        <v>189</v>
      </c>
      <c r="B5601" s="223">
        <v>21</v>
      </c>
      <c r="C5601" s="223">
        <v>26</v>
      </c>
      <c r="D5601" s="223">
        <v>4</v>
      </c>
      <c r="E5601" s="223">
        <v>511599</v>
      </c>
    </row>
    <row r="5602" spans="1:5" ht="15">
      <c r="A5602" s="223" t="s">
        <v>189</v>
      </c>
      <c r="B5602" s="223">
        <v>21</v>
      </c>
      <c r="C5602" s="223">
        <v>26</v>
      </c>
      <c r="D5602" s="223">
        <v>5</v>
      </c>
      <c r="E5602" s="223">
        <v>32500</v>
      </c>
    </row>
    <row r="5603" spans="1:5" ht="15">
      <c r="A5603" s="223" t="s">
        <v>189</v>
      </c>
      <c r="B5603" s="223">
        <v>21</v>
      </c>
      <c r="C5603" s="223">
        <v>26</v>
      </c>
      <c r="D5603" s="223">
        <v>7</v>
      </c>
      <c r="E5603" s="223">
        <v>530485</v>
      </c>
    </row>
    <row r="5604" spans="1:5" ht="15">
      <c r="A5604" s="223" t="s">
        <v>189</v>
      </c>
      <c r="B5604" s="223">
        <v>21</v>
      </c>
      <c r="C5604" s="223">
        <v>26</v>
      </c>
      <c r="D5604" s="223">
        <v>8</v>
      </c>
      <c r="E5604" s="223">
        <v>1400</v>
      </c>
    </row>
    <row r="5605" spans="1:5" ht="15">
      <c r="A5605" s="223" t="s">
        <v>189</v>
      </c>
      <c r="B5605" s="223">
        <v>21</v>
      </c>
      <c r="C5605" s="223">
        <v>27</v>
      </c>
      <c r="D5605" s="223">
        <v>2</v>
      </c>
      <c r="E5605" s="223">
        <v>4043584</v>
      </c>
    </row>
    <row r="5606" spans="1:5" ht="15">
      <c r="A5606" s="223" t="s">
        <v>189</v>
      </c>
      <c r="B5606" s="223">
        <v>21</v>
      </c>
      <c r="C5606" s="223">
        <v>27</v>
      </c>
      <c r="D5606" s="223">
        <v>3</v>
      </c>
      <c r="E5606" s="223">
        <v>1997502</v>
      </c>
    </row>
    <row r="5607" spans="1:5" ht="15">
      <c r="A5607" s="223" t="s">
        <v>189</v>
      </c>
      <c r="B5607" s="223">
        <v>21</v>
      </c>
      <c r="C5607" s="223">
        <v>27</v>
      </c>
      <c r="D5607" s="223">
        <v>4</v>
      </c>
      <c r="E5607" s="223">
        <v>2577670</v>
      </c>
    </row>
    <row r="5608" spans="1:5" ht="15">
      <c r="A5608" s="223" t="s">
        <v>189</v>
      </c>
      <c r="B5608" s="223">
        <v>21</v>
      </c>
      <c r="C5608" s="223">
        <v>27</v>
      </c>
      <c r="D5608" s="223">
        <v>5</v>
      </c>
      <c r="E5608" s="223">
        <v>89025</v>
      </c>
    </row>
    <row r="5609" spans="1:5" ht="15">
      <c r="A5609" s="223" t="s">
        <v>189</v>
      </c>
      <c r="B5609" s="223">
        <v>21</v>
      </c>
      <c r="C5609" s="223">
        <v>27</v>
      </c>
      <c r="D5609" s="223">
        <v>7</v>
      </c>
      <c r="E5609" s="223">
        <v>2996</v>
      </c>
    </row>
    <row r="5610" spans="1:5" ht="15">
      <c r="A5610" s="223" t="s">
        <v>189</v>
      </c>
      <c r="B5610" s="223">
        <v>24</v>
      </c>
      <c r="C5610" s="223">
        <v>26</v>
      </c>
      <c r="D5610" s="223">
        <v>2</v>
      </c>
      <c r="E5610" s="223">
        <v>417582</v>
      </c>
    </row>
    <row r="5611" spans="1:5" ht="15">
      <c r="A5611" s="223" t="s">
        <v>189</v>
      </c>
      <c r="B5611" s="223">
        <v>24</v>
      </c>
      <c r="C5611" s="223">
        <v>26</v>
      </c>
      <c r="D5611" s="223">
        <v>4</v>
      </c>
      <c r="E5611" s="223">
        <v>157356</v>
      </c>
    </row>
    <row r="5612" spans="1:5" ht="15">
      <c r="A5612" s="223" t="s">
        <v>189</v>
      </c>
      <c r="B5612" s="223">
        <v>24</v>
      </c>
      <c r="C5612" s="223">
        <v>26</v>
      </c>
      <c r="D5612" s="223">
        <v>7</v>
      </c>
      <c r="E5612" s="223">
        <v>456164</v>
      </c>
    </row>
    <row r="5613" spans="1:5" ht="15">
      <c r="A5613" s="223" t="s">
        <v>189</v>
      </c>
      <c r="B5613" s="223">
        <v>24</v>
      </c>
      <c r="C5613" s="223">
        <v>27</v>
      </c>
      <c r="D5613" s="223">
        <v>2</v>
      </c>
      <c r="E5613" s="223">
        <v>200129</v>
      </c>
    </row>
    <row r="5614" spans="1:5" ht="15">
      <c r="A5614" s="223" t="s">
        <v>189</v>
      </c>
      <c r="B5614" s="223">
        <v>24</v>
      </c>
      <c r="C5614" s="223">
        <v>27</v>
      </c>
      <c r="D5614" s="223">
        <v>3</v>
      </c>
      <c r="E5614" s="223">
        <v>18262</v>
      </c>
    </row>
    <row r="5615" spans="1:5" ht="15">
      <c r="A5615" s="223" t="s">
        <v>189</v>
      </c>
      <c r="B5615" s="223">
        <v>24</v>
      </c>
      <c r="C5615" s="223">
        <v>27</v>
      </c>
      <c r="D5615" s="223">
        <v>4</v>
      </c>
      <c r="E5615" s="223">
        <v>72061</v>
      </c>
    </row>
    <row r="5616" spans="1:5" ht="15">
      <c r="A5616" s="223" t="s">
        <v>191</v>
      </c>
      <c r="B5616" s="223">
        <v>21</v>
      </c>
      <c r="C5616" s="223">
        <v>21</v>
      </c>
      <c r="D5616" s="223">
        <v>2</v>
      </c>
      <c r="E5616" s="223">
        <v>12500</v>
      </c>
    </row>
    <row r="5617" spans="1:5" ht="15">
      <c r="A5617" s="223" t="s">
        <v>191</v>
      </c>
      <c r="B5617" s="223">
        <v>21</v>
      </c>
      <c r="C5617" s="223">
        <v>21</v>
      </c>
      <c r="D5617" s="223">
        <v>4</v>
      </c>
      <c r="E5617" s="223">
        <v>2813</v>
      </c>
    </row>
    <row r="5618" spans="1:5" ht="15">
      <c r="A5618" s="223" t="s">
        <v>191</v>
      </c>
      <c r="B5618" s="223">
        <v>21</v>
      </c>
      <c r="C5618" s="223">
        <v>21</v>
      </c>
      <c r="D5618" s="223">
        <v>5</v>
      </c>
      <c r="E5618" s="223">
        <v>250</v>
      </c>
    </row>
    <row r="5619" spans="1:5" ht="15">
      <c r="A5619" s="223" t="s">
        <v>191</v>
      </c>
      <c r="B5619" s="223">
        <v>21</v>
      </c>
      <c r="C5619" s="223">
        <v>21</v>
      </c>
      <c r="D5619" s="223">
        <v>7</v>
      </c>
      <c r="E5619" s="223">
        <v>500</v>
      </c>
    </row>
    <row r="5620" spans="1:5" ht="15">
      <c r="A5620" s="223" t="s">
        <v>191</v>
      </c>
      <c r="B5620" s="223">
        <v>21</v>
      </c>
      <c r="C5620" s="223">
        <v>21</v>
      </c>
      <c r="D5620" s="223">
        <v>8</v>
      </c>
      <c r="E5620" s="223">
        <v>100</v>
      </c>
    </row>
    <row r="5621" spans="1:5" ht="15">
      <c r="A5621" s="223" t="s">
        <v>191</v>
      </c>
      <c r="B5621" s="223">
        <v>21</v>
      </c>
      <c r="C5621" s="223">
        <v>24</v>
      </c>
      <c r="D5621" s="223">
        <v>5</v>
      </c>
      <c r="E5621" s="223">
        <v>3000</v>
      </c>
    </row>
    <row r="5622" spans="1:5" ht="15">
      <c r="A5622" s="223" t="s">
        <v>191</v>
      </c>
      <c r="B5622" s="223">
        <v>21</v>
      </c>
      <c r="C5622" s="223">
        <v>25</v>
      </c>
      <c r="D5622" s="223">
        <v>5</v>
      </c>
      <c r="E5622" s="223">
        <v>50</v>
      </c>
    </row>
    <row r="5623" spans="1:5" ht="15">
      <c r="A5623" s="223" t="s">
        <v>191</v>
      </c>
      <c r="B5623" s="223">
        <v>21</v>
      </c>
      <c r="C5623" s="223">
        <v>26</v>
      </c>
      <c r="D5623" s="223">
        <v>3</v>
      </c>
      <c r="E5623" s="223">
        <v>66438</v>
      </c>
    </row>
    <row r="5624" spans="1:5" ht="15">
      <c r="A5624" s="223" t="s">
        <v>191</v>
      </c>
      <c r="B5624" s="223">
        <v>21</v>
      </c>
      <c r="C5624" s="223">
        <v>26</v>
      </c>
      <c r="D5624" s="223">
        <v>4</v>
      </c>
      <c r="E5624" s="223">
        <v>29917</v>
      </c>
    </row>
    <row r="5625" spans="1:5" ht="15">
      <c r="A5625" s="223" t="s">
        <v>191</v>
      </c>
      <c r="B5625" s="223">
        <v>21</v>
      </c>
      <c r="C5625" s="223">
        <v>26</v>
      </c>
      <c r="D5625" s="223">
        <v>5</v>
      </c>
      <c r="E5625" s="223">
        <v>2700</v>
      </c>
    </row>
    <row r="5626" spans="1:5" ht="15">
      <c r="A5626" s="223" t="s">
        <v>191</v>
      </c>
      <c r="B5626" s="223">
        <v>21</v>
      </c>
      <c r="C5626" s="223">
        <v>26</v>
      </c>
      <c r="D5626" s="223">
        <v>7</v>
      </c>
      <c r="E5626" s="223">
        <v>29831</v>
      </c>
    </row>
    <row r="5627" spans="1:5" ht="15">
      <c r="A5627" s="223" t="s">
        <v>191</v>
      </c>
      <c r="B5627" s="223">
        <v>21</v>
      </c>
      <c r="C5627" s="223">
        <v>26</v>
      </c>
      <c r="D5627" s="223">
        <v>8</v>
      </c>
      <c r="E5627" s="223">
        <v>600</v>
      </c>
    </row>
    <row r="5628" spans="1:5" ht="15">
      <c r="A5628" s="223" t="s">
        <v>191</v>
      </c>
      <c r="B5628" s="223">
        <v>21</v>
      </c>
      <c r="C5628" s="223">
        <v>27</v>
      </c>
      <c r="D5628" s="223">
        <v>2</v>
      </c>
      <c r="E5628" s="223">
        <v>274715</v>
      </c>
    </row>
    <row r="5629" spans="1:5" ht="15">
      <c r="A5629" s="223" t="s">
        <v>191</v>
      </c>
      <c r="B5629" s="223">
        <v>21</v>
      </c>
      <c r="C5629" s="223">
        <v>27</v>
      </c>
      <c r="D5629" s="223">
        <v>3</v>
      </c>
      <c r="E5629" s="223">
        <v>32314</v>
      </c>
    </row>
    <row r="5630" spans="1:5" ht="15">
      <c r="A5630" s="223" t="s">
        <v>191</v>
      </c>
      <c r="B5630" s="223">
        <v>21</v>
      </c>
      <c r="C5630" s="223">
        <v>27</v>
      </c>
      <c r="D5630" s="223">
        <v>4</v>
      </c>
      <c r="E5630" s="223">
        <v>113759</v>
      </c>
    </row>
    <row r="5631" spans="1:5" ht="15">
      <c r="A5631" s="223" t="s">
        <v>191</v>
      </c>
      <c r="B5631" s="223">
        <v>21</v>
      </c>
      <c r="C5631" s="223">
        <v>27</v>
      </c>
      <c r="D5631" s="223">
        <v>5</v>
      </c>
      <c r="E5631" s="223">
        <v>15000</v>
      </c>
    </row>
    <row r="5632" spans="1:5" ht="15">
      <c r="A5632" s="223" t="s">
        <v>191</v>
      </c>
      <c r="B5632" s="223">
        <v>21</v>
      </c>
      <c r="C5632" s="223">
        <v>27</v>
      </c>
      <c r="D5632" s="223">
        <v>7</v>
      </c>
      <c r="E5632" s="223">
        <v>6000</v>
      </c>
    </row>
    <row r="5633" spans="1:5" ht="15">
      <c r="A5633" s="223" t="s">
        <v>191</v>
      </c>
      <c r="B5633" s="223">
        <v>21</v>
      </c>
      <c r="C5633" s="223">
        <v>27</v>
      </c>
      <c r="D5633" s="223">
        <v>8</v>
      </c>
      <c r="E5633" s="223">
        <v>200</v>
      </c>
    </row>
    <row r="5634" spans="1:5" ht="15">
      <c r="A5634" s="223" t="s">
        <v>191</v>
      </c>
      <c r="B5634" s="223">
        <v>21</v>
      </c>
      <c r="C5634" s="223">
        <v>31</v>
      </c>
      <c r="D5634" s="223">
        <v>2</v>
      </c>
      <c r="E5634" s="223">
        <v>3544</v>
      </c>
    </row>
    <row r="5635" spans="1:5" ht="15">
      <c r="A5635" s="223" t="s">
        <v>191</v>
      </c>
      <c r="B5635" s="223">
        <v>21</v>
      </c>
      <c r="C5635" s="223">
        <v>31</v>
      </c>
      <c r="D5635" s="223">
        <v>4</v>
      </c>
      <c r="E5635" s="223">
        <v>5444</v>
      </c>
    </row>
    <row r="5636" spans="1:5" ht="15">
      <c r="A5636" s="223" t="s">
        <v>191</v>
      </c>
      <c r="B5636" s="223">
        <v>21</v>
      </c>
      <c r="C5636" s="223">
        <v>31</v>
      </c>
      <c r="D5636" s="223">
        <v>7</v>
      </c>
      <c r="E5636" s="223">
        <v>2500</v>
      </c>
    </row>
    <row r="5637" spans="1:5" ht="15">
      <c r="A5637" s="223" t="s">
        <v>191</v>
      </c>
      <c r="B5637" s="223">
        <v>21</v>
      </c>
      <c r="C5637" s="223">
        <v>31</v>
      </c>
      <c r="D5637" s="223">
        <v>8</v>
      </c>
      <c r="E5637" s="223">
        <v>6825</v>
      </c>
    </row>
    <row r="5638" spans="1:5" ht="15">
      <c r="A5638" s="223" t="s">
        <v>191</v>
      </c>
      <c r="B5638" s="223">
        <v>21</v>
      </c>
      <c r="C5638" s="223">
        <v>32</v>
      </c>
      <c r="D5638" s="223">
        <v>5</v>
      </c>
      <c r="E5638" s="223">
        <v>12000</v>
      </c>
    </row>
    <row r="5639" spans="1:5" ht="15">
      <c r="A5639" s="223" t="s">
        <v>191</v>
      </c>
      <c r="B5639" s="223">
        <v>21</v>
      </c>
      <c r="C5639" s="223">
        <v>34</v>
      </c>
      <c r="D5639" s="223">
        <v>2</v>
      </c>
      <c r="E5639" s="223">
        <v>5315</v>
      </c>
    </row>
    <row r="5640" spans="1:5" ht="15">
      <c r="A5640" s="223" t="s">
        <v>191</v>
      </c>
      <c r="B5640" s="223">
        <v>21</v>
      </c>
      <c r="C5640" s="223">
        <v>34</v>
      </c>
      <c r="D5640" s="223">
        <v>4</v>
      </c>
      <c r="E5640" s="223">
        <v>8166</v>
      </c>
    </row>
    <row r="5641" spans="1:5" ht="15">
      <c r="A5641" s="223" t="s">
        <v>191</v>
      </c>
      <c r="B5641" s="223">
        <v>24</v>
      </c>
      <c r="C5641" s="223">
        <v>26</v>
      </c>
      <c r="D5641" s="223">
        <v>2</v>
      </c>
      <c r="E5641" s="223">
        <v>50229</v>
      </c>
    </row>
    <row r="5642" spans="1:5" ht="15">
      <c r="A5642" s="223" t="s">
        <v>191</v>
      </c>
      <c r="B5642" s="223">
        <v>24</v>
      </c>
      <c r="C5642" s="223">
        <v>26</v>
      </c>
      <c r="D5642" s="223">
        <v>3</v>
      </c>
      <c r="E5642" s="223">
        <v>8326</v>
      </c>
    </row>
    <row r="5643" spans="1:5" ht="15">
      <c r="A5643" s="223" t="s">
        <v>191</v>
      </c>
      <c r="B5643" s="223">
        <v>24</v>
      </c>
      <c r="C5643" s="223">
        <v>26</v>
      </c>
      <c r="D5643" s="223">
        <v>4</v>
      </c>
      <c r="E5643" s="223">
        <v>21503</v>
      </c>
    </row>
    <row r="5644" spans="1:5" ht="15">
      <c r="A5644" s="223" t="s">
        <v>191</v>
      </c>
      <c r="B5644" s="223">
        <v>24</v>
      </c>
      <c r="C5644" s="223">
        <v>27</v>
      </c>
      <c r="D5644" s="223">
        <v>2</v>
      </c>
      <c r="E5644" s="223">
        <v>8966</v>
      </c>
    </row>
    <row r="5645" spans="1:5" ht="15">
      <c r="A5645" s="223" t="s">
        <v>191</v>
      </c>
      <c r="B5645" s="223">
        <v>24</v>
      </c>
      <c r="C5645" s="223">
        <v>27</v>
      </c>
      <c r="D5645" s="223">
        <v>3</v>
      </c>
      <c r="E5645" s="223">
        <v>178591</v>
      </c>
    </row>
    <row r="5646" spans="1:5" ht="15">
      <c r="A5646" s="223" t="s">
        <v>191</v>
      </c>
      <c r="B5646" s="223">
        <v>24</v>
      </c>
      <c r="C5646" s="223">
        <v>27</v>
      </c>
      <c r="D5646" s="223">
        <v>4</v>
      </c>
      <c r="E5646" s="223">
        <v>121311</v>
      </c>
    </row>
    <row r="5647" spans="1:5" ht="15">
      <c r="A5647" s="223" t="s">
        <v>193</v>
      </c>
      <c r="B5647" s="223">
        <v>21</v>
      </c>
      <c r="C5647" s="223">
        <v>21</v>
      </c>
      <c r="D5647" s="223">
        <v>2</v>
      </c>
      <c r="E5647" s="223">
        <v>418380</v>
      </c>
    </row>
    <row r="5648" spans="1:5" ht="15">
      <c r="A5648" s="223" t="s">
        <v>193</v>
      </c>
      <c r="B5648" s="223">
        <v>21</v>
      </c>
      <c r="C5648" s="223">
        <v>21</v>
      </c>
      <c r="D5648" s="223">
        <v>3</v>
      </c>
      <c r="E5648" s="223">
        <v>154817</v>
      </c>
    </row>
    <row r="5649" spans="1:5" ht="15">
      <c r="A5649" s="223" t="s">
        <v>193</v>
      </c>
      <c r="B5649" s="223">
        <v>21</v>
      </c>
      <c r="C5649" s="223">
        <v>21</v>
      </c>
      <c r="D5649" s="223">
        <v>4</v>
      </c>
      <c r="E5649" s="223">
        <v>199495</v>
      </c>
    </row>
    <row r="5650" spans="1:5" ht="15">
      <c r="A5650" s="223" t="s">
        <v>193</v>
      </c>
      <c r="B5650" s="223">
        <v>21</v>
      </c>
      <c r="C5650" s="223">
        <v>21</v>
      </c>
      <c r="D5650" s="223">
        <v>5</v>
      </c>
      <c r="E5650" s="223">
        <v>5000</v>
      </c>
    </row>
    <row r="5651" spans="1:5" ht="15">
      <c r="A5651" s="223" t="s">
        <v>193</v>
      </c>
      <c r="B5651" s="223">
        <v>21</v>
      </c>
      <c r="C5651" s="223">
        <v>21</v>
      </c>
      <c r="D5651" s="223">
        <v>7</v>
      </c>
      <c r="E5651" s="223">
        <v>30000</v>
      </c>
    </row>
    <row r="5652" spans="1:5" ht="15">
      <c r="A5652" s="223" t="s">
        <v>193</v>
      </c>
      <c r="B5652" s="223">
        <v>21</v>
      </c>
      <c r="C5652" s="223">
        <v>24</v>
      </c>
      <c r="D5652" s="223">
        <v>5</v>
      </c>
      <c r="E5652" s="223">
        <v>20000</v>
      </c>
    </row>
    <row r="5653" spans="1:5" ht="15">
      <c r="A5653" s="223" t="s">
        <v>193</v>
      </c>
      <c r="B5653" s="223">
        <v>21</v>
      </c>
      <c r="C5653" s="223">
        <v>26</v>
      </c>
      <c r="D5653" s="223">
        <v>2</v>
      </c>
      <c r="E5653" s="223">
        <v>1414783</v>
      </c>
    </row>
    <row r="5654" spans="1:5" ht="15">
      <c r="A5654" s="223" t="s">
        <v>193</v>
      </c>
      <c r="B5654" s="223">
        <v>21</v>
      </c>
      <c r="C5654" s="223">
        <v>26</v>
      </c>
      <c r="D5654" s="223">
        <v>3</v>
      </c>
      <c r="E5654" s="223">
        <v>258849</v>
      </c>
    </row>
    <row r="5655" spans="1:5" ht="15">
      <c r="A5655" s="223" t="s">
        <v>193</v>
      </c>
      <c r="B5655" s="223">
        <v>21</v>
      </c>
      <c r="C5655" s="223">
        <v>26</v>
      </c>
      <c r="D5655" s="223">
        <v>4</v>
      </c>
      <c r="E5655" s="223">
        <v>630044</v>
      </c>
    </row>
    <row r="5656" spans="1:5" ht="15">
      <c r="A5656" s="223" t="s">
        <v>193</v>
      </c>
      <c r="B5656" s="223">
        <v>21</v>
      </c>
      <c r="C5656" s="223">
        <v>26</v>
      </c>
      <c r="D5656" s="223">
        <v>5</v>
      </c>
      <c r="E5656" s="223">
        <v>8000</v>
      </c>
    </row>
    <row r="5657" spans="1:5" ht="15">
      <c r="A5657" s="223" t="s">
        <v>193</v>
      </c>
      <c r="B5657" s="223">
        <v>21</v>
      </c>
      <c r="C5657" s="223">
        <v>26</v>
      </c>
      <c r="D5657" s="223">
        <v>7</v>
      </c>
      <c r="E5657" s="223">
        <v>184000</v>
      </c>
    </row>
    <row r="5658" spans="1:5" ht="15">
      <c r="A5658" s="223" t="s">
        <v>193</v>
      </c>
      <c r="B5658" s="223">
        <v>21</v>
      </c>
      <c r="C5658" s="223">
        <v>27</v>
      </c>
      <c r="D5658" s="223">
        <v>0</v>
      </c>
      <c r="E5658" s="223">
        <v>25000</v>
      </c>
    </row>
    <row r="5659" spans="1:5" ht="15">
      <c r="A5659" s="223" t="s">
        <v>193</v>
      </c>
      <c r="B5659" s="223">
        <v>21</v>
      </c>
      <c r="C5659" s="223">
        <v>27</v>
      </c>
      <c r="D5659" s="223">
        <v>2</v>
      </c>
      <c r="E5659" s="223">
        <v>3075411</v>
      </c>
    </row>
    <row r="5660" spans="1:5" ht="15">
      <c r="A5660" s="223" t="s">
        <v>193</v>
      </c>
      <c r="B5660" s="223">
        <v>21</v>
      </c>
      <c r="C5660" s="223">
        <v>27</v>
      </c>
      <c r="D5660" s="223">
        <v>3</v>
      </c>
      <c r="E5660" s="223">
        <v>2483967</v>
      </c>
    </row>
    <row r="5661" spans="1:5" ht="15">
      <c r="A5661" s="223" t="s">
        <v>193</v>
      </c>
      <c r="B5661" s="223">
        <v>21</v>
      </c>
      <c r="C5661" s="223">
        <v>27</v>
      </c>
      <c r="D5661" s="223">
        <v>4</v>
      </c>
      <c r="E5661" s="223">
        <v>2523941</v>
      </c>
    </row>
    <row r="5662" spans="1:5" ht="15">
      <c r="A5662" s="223" t="s">
        <v>193</v>
      </c>
      <c r="B5662" s="223">
        <v>21</v>
      </c>
      <c r="C5662" s="223">
        <v>27</v>
      </c>
      <c r="D5662" s="223">
        <v>5</v>
      </c>
      <c r="E5662" s="223">
        <v>24000</v>
      </c>
    </row>
    <row r="5663" spans="1:5" ht="15">
      <c r="A5663" s="223" t="s">
        <v>193</v>
      </c>
      <c r="B5663" s="223">
        <v>21</v>
      </c>
      <c r="C5663" s="223">
        <v>27</v>
      </c>
      <c r="D5663" s="223">
        <v>7</v>
      </c>
      <c r="E5663" s="223">
        <v>100000</v>
      </c>
    </row>
    <row r="5664" spans="1:5" ht="15">
      <c r="A5664" s="223" t="s">
        <v>193</v>
      </c>
      <c r="B5664" s="223">
        <v>21</v>
      </c>
      <c r="C5664" s="223">
        <v>29</v>
      </c>
      <c r="D5664" s="223">
        <v>7</v>
      </c>
      <c r="E5664" s="223">
        <v>30000</v>
      </c>
    </row>
    <row r="5665" spans="1:5" ht="15">
      <c r="A5665" s="223" t="s">
        <v>193</v>
      </c>
      <c r="B5665" s="223">
        <v>21</v>
      </c>
      <c r="C5665" s="223">
        <v>31</v>
      </c>
      <c r="D5665" s="223">
        <v>2</v>
      </c>
      <c r="E5665" s="223">
        <v>24000</v>
      </c>
    </row>
    <row r="5666" spans="1:5" ht="15">
      <c r="A5666" s="223" t="s">
        <v>193</v>
      </c>
      <c r="B5666" s="223">
        <v>21</v>
      </c>
      <c r="C5666" s="223">
        <v>31</v>
      </c>
      <c r="D5666" s="223">
        <v>3</v>
      </c>
      <c r="E5666" s="223">
        <v>2000</v>
      </c>
    </row>
    <row r="5667" spans="1:5" ht="15">
      <c r="A5667" s="223" t="s">
        <v>193</v>
      </c>
      <c r="B5667" s="223">
        <v>21</v>
      </c>
      <c r="C5667" s="223">
        <v>31</v>
      </c>
      <c r="D5667" s="223">
        <v>4</v>
      </c>
      <c r="E5667" s="223">
        <v>5935</v>
      </c>
    </row>
    <row r="5668" spans="1:5" ht="15">
      <c r="A5668" s="223" t="s">
        <v>193</v>
      </c>
      <c r="B5668" s="223">
        <v>21</v>
      </c>
      <c r="C5668" s="223">
        <v>31</v>
      </c>
      <c r="D5668" s="223">
        <v>7</v>
      </c>
      <c r="E5668" s="223">
        <v>4000</v>
      </c>
    </row>
    <row r="5669" spans="1:5" ht="15">
      <c r="A5669" s="223" t="s">
        <v>193</v>
      </c>
      <c r="B5669" s="223">
        <v>21</v>
      </c>
      <c r="C5669" s="223">
        <v>33</v>
      </c>
      <c r="D5669" s="223">
        <v>5</v>
      </c>
      <c r="E5669" s="223">
        <v>5000</v>
      </c>
    </row>
    <row r="5670" spans="1:5" ht="15">
      <c r="A5670" s="223" t="s">
        <v>193</v>
      </c>
      <c r="B5670" s="223">
        <v>21</v>
      </c>
      <c r="C5670" s="223">
        <v>34</v>
      </c>
      <c r="D5670" s="223">
        <v>2</v>
      </c>
      <c r="E5670" s="223">
        <v>62465</v>
      </c>
    </row>
    <row r="5671" spans="1:5" ht="15">
      <c r="A5671" s="223" t="s">
        <v>193</v>
      </c>
      <c r="B5671" s="223">
        <v>21</v>
      </c>
      <c r="C5671" s="223">
        <v>34</v>
      </c>
      <c r="D5671" s="223">
        <v>4</v>
      </c>
      <c r="E5671" s="223">
        <v>14329</v>
      </c>
    </row>
    <row r="5672" spans="1:5" ht="15">
      <c r="A5672" s="223" t="s">
        <v>193</v>
      </c>
      <c r="B5672" s="223">
        <v>24</v>
      </c>
      <c r="C5672" s="223">
        <v>26</v>
      </c>
      <c r="D5672" s="223">
        <v>2</v>
      </c>
      <c r="E5672" s="223">
        <v>675237</v>
      </c>
    </row>
    <row r="5673" spans="1:5" ht="15">
      <c r="A5673" s="223" t="s">
        <v>193</v>
      </c>
      <c r="B5673" s="223">
        <v>24</v>
      </c>
      <c r="C5673" s="223">
        <v>26</v>
      </c>
      <c r="D5673" s="223">
        <v>4</v>
      </c>
      <c r="E5673" s="223">
        <v>229777</v>
      </c>
    </row>
    <row r="5674" spans="1:5" ht="15">
      <c r="A5674" s="223" t="s">
        <v>193</v>
      </c>
      <c r="B5674" s="223">
        <v>24</v>
      </c>
      <c r="C5674" s="223">
        <v>27</v>
      </c>
      <c r="D5674" s="223">
        <v>2</v>
      </c>
      <c r="E5674" s="223">
        <v>3596</v>
      </c>
    </row>
    <row r="5675" spans="1:5" ht="15">
      <c r="A5675" s="223" t="s">
        <v>193</v>
      </c>
      <c r="B5675" s="223">
        <v>24</v>
      </c>
      <c r="C5675" s="223">
        <v>27</v>
      </c>
      <c r="D5675" s="223">
        <v>3</v>
      </c>
      <c r="E5675" s="223">
        <v>187278</v>
      </c>
    </row>
    <row r="5676" spans="1:5" ht="15">
      <c r="A5676" s="223" t="s">
        <v>193</v>
      </c>
      <c r="B5676" s="223">
        <v>24</v>
      </c>
      <c r="C5676" s="223">
        <v>27</v>
      </c>
      <c r="D5676" s="223">
        <v>4</v>
      </c>
      <c r="E5676" s="223">
        <v>106575</v>
      </c>
    </row>
    <row r="5677" spans="1:5" ht="15">
      <c r="A5677" s="223" t="s">
        <v>193</v>
      </c>
      <c r="B5677" s="223">
        <v>24</v>
      </c>
      <c r="C5677" s="223">
        <v>31</v>
      </c>
      <c r="D5677" s="223">
        <v>2</v>
      </c>
      <c r="E5677" s="223">
        <v>8048</v>
      </c>
    </row>
    <row r="5678" spans="1:5" ht="15">
      <c r="A5678" s="223" t="s">
        <v>193</v>
      </c>
      <c r="B5678" s="223">
        <v>24</v>
      </c>
      <c r="C5678" s="223">
        <v>31</v>
      </c>
      <c r="D5678" s="223">
        <v>4</v>
      </c>
      <c r="E5678" s="223">
        <v>1846</v>
      </c>
    </row>
    <row r="5679" spans="1:5" ht="15">
      <c r="A5679" s="223" t="s">
        <v>193</v>
      </c>
      <c r="B5679" s="223">
        <v>29</v>
      </c>
      <c r="C5679" s="223">
        <v>26</v>
      </c>
      <c r="D5679" s="223">
        <v>7</v>
      </c>
      <c r="E5679" s="223">
        <v>10000</v>
      </c>
    </row>
    <row r="5680" spans="1:5" ht="15">
      <c r="A5680" s="223" t="s">
        <v>278</v>
      </c>
      <c r="B5680" s="223">
        <v>21</v>
      </c>
      <c r="C5680" s="223">
        <v>21</v>
      </c>
      <c r="D5680" s="223">
        <v>3</v>
      </c>
      <c r="E5680" s="223">
        <v>11404</v>
      </c>
    </row>
    <row r="5681" spans="1:5" ht="15">
      <c r="A5681" s="223" t="s">
        <v>278</v>
      </c>
      <c r="B5681" s="223">
        <v>21</v>
      </c>
      <c r="C5681" s="223">
        <v>21</v>
      </c>
      <c r="D5681" s="223">
        <v>4</v>
      </c>
      <c r="E5681" s="223">
        <v>3804</v>
      </c>
    </row>
    <row r="5682" spans="1:5" ht="15">
      <c r="A5682" s="223" t="s">
        <v>278</v>
      </c>
      <c r="B5682" s="223">
        <v>21</v>
      </c>
      <c r="C5682" s="223">
        <v>21</v>
      </c>
      <c r="D5682" s="223">
        <v>7</v>
      </c>
      <c r="E5682" s="223">
        <v>2240</v>
      </c>
    </row>
    <row r="5683" spans="1:5" ht="15">
      <c r="A5683" s="223" t="s">
        <v>278</v>
      </c>
      <c r="B5683" s="223">
        <v>21</v>
      </c>
      <c r="C5683" s="223">
        <v>23</v>
      </c>
      <c r="D5683" s="223">
        <v>3</v>
      </c>
      <c r="E5683" s="223">
        <v>39799</v>
      </c>
    </row>
    <row r="5684" spans="1:5" ht="15">
      <c r="A5684" s="223" t="s">
        <v>278</v>
      </c>
      <c r="B5684" s="223">
        <v>21</v>
      </c>
      <c r="C5684" s="223">
        <v>23</v>
      </c>
      <c r="D5684" s="223">
        <v>4</v>
      </c>
      <c r="E5684" s="223">
        <v>20724</v>
      </c>
    </row>
    <row r="5685" spans="1:5" ht="15">
      <c r="A5685" s="223" t="s">
        <v>278</v>
      </c>
      <c r="B5685" s="223">
        <v>21</v>
      </c>
      <c r="C5685" s="223">
        <v>23</v>
      </c>
      <c r="D5685" s="223">
        <v>5</v>
      </c>
      <c r="E5685" s="223">
        <v>1126</v>
      </c>
    </row>
    <row r="5686" spans="1:5" ht="15">
      <c r="A5686" s="223" t="s">
        <v>278</v>
      </c>
      <c r="B5686" s="223">
        <v>21</v>
      </c>
      <c r="C5686" s="223">
        <v>23</v>
      </c>
      <c r="D5686" s="223">
        <v>7</v>
      </c>
      <c r="E5686" s="223">
        <v>961</v>
      </c>
    </row>
    <row r="5687" spans="1:5" ht="15">
      <c r="A5687" s="223" t="s">
        <v>278</v>
      </c>
      <c r="B5687" s="223">
        <v>21</v>
      </c>
      <c r="C5687" s="223">
        <v>23</v>
      </c>
      <c r="D5687" s="223">
        <v>8</v>
      </c>
      <c r="E5687" s="223">
        <v>625</v>
      </c>
    </row>
    <row r="5688" spans="1:5" ht="15">
      <c r="A5688" s="223" t="s">
        <v>278</v>
      </c>
      <c r="B5688" s="223">
        <v>21</v>
      </c>
      <c r="C5688" s="223">
        <v>26</v>
      </c>
      <c r="D5688" s="223">
        <v>2</v>
      </c>
      <c r="E5688" s="223">
        <v>146240</v>
      </c>
    </row>
    <row r="5689" spans="1:5" ht="15">
      <c r="A5689" s="223" t="s">
        <v>278</v>
      </c>
      <c r="B5689" s="223">
        <v>21</v>
      </c>
      <c r="C5689" s="223">
        <v>26</v>
      </c>
      <c r="D5689" s="223">
        <v>4</v>
      </c>
      <c r="E5689" s="223">
        <v>54689</v>
      </c>
    </row>
    <row r="5690" spans="1:5" ht="15">
      <c r="A5690" s="223" t="s">
        <v>278</v>
      </c>
      <c r="B5690" s="223">
        <v>21</v>
      </c>
      <c r="C5690" s="223">
        <v>26</v>
      </c>
      <c r="D5690" s="223">
        <v>5</v>
      </c>
      <c r="E5690" s="223">
        <v>7515</v>
      </c>
    </row>
    <row r="5691" spans="1:5" ht="15">
      <c r="A5691" s="223" t="s">
        <v>278</v>
      </c>
      <c r="B5691" s="223">
        <v>21</v>
      </c>
      <c r="C5691" s="223">
        <v>26</v>
      </c>
      <c r="D5691" s="223">
        <v>7</v>
      </c>
      <c r="E5691" s="223">
        <v>217993</v>
      </c>
    </row>
    <row r="5692" spans="1:5" ht="15">
      <c r="A5692" s="223" t="s">
        <v>278</v>
      </c>
      <c r="B5692" s="223">
        <v>21</v>
      </c>
      <c r="C5692" s="223">
        <v>26</v>
      </c>
      <c r="D5692" s="223">
        <v>8</v>
      </c>
      <c r="E5692" s="223">
        <v>4000</v>
      </c>
    </row>
    <row r="5693" spans="1:5" ht="15">
      <c r="A5693" s="223" t="s">
        <v>278</v>
      </c>
      <c r="B5693" s="223">
        <v>21</v>
      </c>
      <c r="C5693" s="223">
        <v>27</v>
      </c>
      <c r="D5693" s="223">
        <v>2</v>
      </c>
      <c r="E5693" s="223">
        <v>329887</v>
      </c>
    </row>
    <row r="5694" spans="1:5" ht="15">
      <c r="A5694" s="223" t="s">
        <v>278</v>
      </c>
      <c r="B5694" s="223">
        <v>21</v>
      </c>
      <c r="C5694" s="223">
        <v>27</v>
      </c>
      <c r="D5694" s="223">
        <v>3</v>
      </c>
      <c r="E5694" s="223">
        <v>142272</v>
      </c>
    </row>
    <row r="5695" spans="1:5" ht="15">
      <c r="A5695" s="223" t="s">
        <v>278</v>
      </c>
      <c r="B5695" s="223">
        <v>21</v>
      </c>
      <c r="C5695" s="223">
        <v>27</v>
      </c>
      <c r="D5695" s="223">
        <v>4</v>
      </c>
      <c r="E5695" s="223">
        <v>211692</v>
      </c>
    </row>
    <row r="5696" spans="1:5" ht="15">
      <c r="A5696" s="223" t="s">
        <v>278</v>
      </c>
      <c r="B5696" s="223">
        <v>21</v>
      </c>
      <c r="C5696" s="223">
        <v>27</v>
      </c>
      <c r="D5696" s="223">
        <v>5</v>
      </c>
      <c r="E5696" s="223">
        <v>4835</v>
      </c>
    </row>
    <row r="5697" spans="1:5" ht="15">
      <c r="A5697" s="223" t="s">
        <v>278</v>
      </c>
      <c r="B5697" s="223">
        <v>21</v>
      </c>
      <c r="C5697" s="223">
        <v>27</v>
      </c>
      <c r="D5697" s="223">
        <v>7</v>
      </c>
      <c r="E5697" s="223">
        <v>1775</v>
      </c>
    </row>
    <row r="5698" spans="1:5" ht="15">
      <c r="A5698" s="223" t="s">
        <v>278</v>
      </c>
      <c r="B5698" s="223">
        <v>21</v>
      </c>
      <c r="C5698" s="223">
        <v>31</v>
      </c>
      <c r="D5698" s="223">
        <v>2</v>
      </c>
      <c r="E5698" s="223">
        <v>927</v>
      </c>
    </row>
    <row r="5699" spans="1:5" ht="15">
      <c r="A5699" s="223" t="s">
        <v>278</v>
      </c>
      <c r="B5699" s="223">
        <v>21</v>
      </c>
      <c r="C5699" s="223">
        <v>31</v>
      </c>
      <c r="D5699" s="223">
        <v>3</v>
      </c>
      <c r="E5699" s="223">
        <v>1002</v>
      </c>
    </row>
    <row r="5700" spans="1:5" ht="15">
      <c r="A5700" s="223" t="s">
        <v>278</v>
      </c>
      <c r="B5700" s="223">
        <v>21</v>
      </c>
      <c r="C5700" s="223">
        <v>31</v>
      </c>
      <c r="D5700" s="223">
        <v>4</v>
      </c>
      <c r="E5700" s="223">
        <v>420</v>
      </c>
    </row>
    <row r="5701" spans="1:5" ht="15">
      <c r="A5701" s="223" t="s">
        <v>278</v>
      </c>
      <c r="B5701" s="223">
        <v>21</v>
      </c>
      <c r="C5701" s="223">
        <v>31</v>
      </c>
      <c r="D5701" s="223">
        <v>7</v>
      </c>
      <c r="E5701" s="223">
        <v>4800</v>
      </c>
    </row>
    <row r="5702" spans="1:5" ht="15">
      <c r="A5702" s="223" t="s">
        <v>278</v>
      </c>
      <c r="B5702" s="223">
        <v>21</v>
      </c>
      <c r="C5702" s="223">
        <v>32</v>
      </c>
      <c r="D5702" s="223">
        <v>5</v>
      </c>
      <c r="E5702" s="223">
        <v>7120</v>
      </c>
    </row>
    <row r="5703" spans="1:5" ht="15">
      <c r="A5703" s="223" t="s">
        <v>278</v>
      </c>
      <c r="B5703" s="223">
        <v>21</v>
      </c>
      <c r="C5703" s="223">
        <v>33</v>
      </c>
      <c r="D5703" s="223">
        <v>5</v>
      </c>
      <c r="E5703" s="223">
        <v>21744</v>
      </c>
    </row>
    <row r="5704" spans="1:5" ht="15">
      <c r="A5704" s="223" t="s">
        <v>278</v>
      </c>
      <c r="B5704" s="223">
        <v>21</v>
      </c>
      <c r="C5704" s="223">
        <v>34</v>
      </c>
      <c r="D5704" s="223">
        <v>2</v>
      </c>
      <c r="E5704" s="223">
        <v>6876</v>
      </c>
    </row>
    <row r="5705" spans="1:5" ht="15">
      <c r="A5705" s="223" t="s">
        <v>278</v>
      </c>
      <c r="B5705" s="223">
        <v>21</v>
      </c>
      <c r="C5705" s="223">
        <v>34</v>
      </c>
      <c r="D5705" s="223">
        <v>4</v>
      </c>
      <c r="E5705" s="223">
        <v>1573</v>
      </c>
    </row>
    <row r="5706" spans="1:5" ht="15">
      <c r="A5706" s="223" t="s">
        <v>278</v>
      </c>
      <c r="B5706" s="223">
        <v>21</v>
      </c>
      <c r="C5706" s="223">
        <v>34</v>
      </c>
      <c r="D5706" s="223">
        <v>7</v>
      </c>
      <c r="E5706" s="223">
        <v>300</v>
      </c>
    </row>
    <row r="5707" spans="1:5" ht="15">
      <c r="A5707" s="223" t="s">
        <v>278</v>
      </c>
      <c r="B5707" s="223">
        <v>24</v>
      </c>
      <c r="C5707" s="223">
        <v>26</v>
      </c>
      <c r="D5707" s="223">
        <v>2</v>
      </c>
      <c r="E5707" s="223">
        <v>17242</v>
      </c>
    </row>
    <row r="5708" spans="1:5" ht="15">
      <c r="A5708" s="223" t="s">
        <v>278</v>
      </c>
      <c r="B5708" s="223">
        <v>24</v>
      </c>
      <c r="C5708" s="223">
        <v>26</v>
      </c>
      <c r="D5708" s="223">
        <v>4</v>
      </c>
      <c r="E5708" s="223">
        <v>7707</v>
      </c>
    </row>
    <row r="5709" spans="1:5" ht="15">
      <c r="A5709" s="223" t="s">
        <v>278</v>
      </c>
      <c r="B5709" s="223">
        <v>24</v>
      </c>
      <c r="C5709" s="223">
        <v>26</v>
      </c>
      <c r="D5709" s="223">
        <v>7</v>
      </c>
      <c r="E5709" s="223">
        <v>8704</v>
      </c>
    </row>
    <row r="5710" spans="1:5" ht="15">
      <c r="A5710" s="223" t="s">
        <v>278</v>
      </c>
      <c r="B5710" s="223">
        <v>24</v>
      </c>
      <c r="C5710" s="223">
        <v>27</v>
      </c>
      <c r="D5710" s="223">
        <v>2</v>
      </c>
      <c r="E5710" s="223">
        <v>70517</v>
      </c>
    </row>
    <row r="5711" spans="1:5" ht="15">
      <c r="A5711" s="223" t="s">
        <v>278</v>
      </c>
      <c r="B5711" s="223">
        <v>24</v>
      </c>
      <c r="C5711" s="223">
        <v>27</v>
      </c>
      <c r="D5711" s="223">
        <v>3</v>
      </c>
      <c r="E5711" s="223">
        <v>25780</v>
      </c>
    </row>
    <row r="5712" spans="1:5" ht="15">
      <c r="A5712" s="223" t="s">
        <v>278</v>
      </c>
      <c r="B5712" s="223">
        <v>24</v>
      </c>
      <c r="C5712" s="223">
        <v>27</v>
      </c>
      <c r="D5712" s="223">
        <v>4</v>
      </c>
      <c r="E5712" s="223">
        <v>46048</v>
      </c>
    </row>
    <row r="5713" spans="1:5" ht="15">
      <c r="A5713" s="223" t="s">
        <v>278</v>
      </c>
      <c r="B5713" s="223">
        <v>24</v>
      </c>
      <c r="C5713" s="223">
        <v>31</v>
      </c>
      <c r="D5713" s="223">
        <v>7</v>
      </c>
      <c r="E5713" s="223">
        <v>1500</v>
      </c>
    </row>
    <row r="5714" spans="1:5" ht="15">
      <c r="A5714" s="223" t="s">
        <v>278</v>
      </c>
      <c r="B5714" s="223">
        <v>24</v>
      </c>
      <c r="C5714" s="223">
        <v>31</v>
      </c>
      <c r="D5714" s="223">
        <v>8</v>
      </c>
      <c r="E5714" s="223">
        <v>500</v>
      </c>
    </row>
    <row r="5715" spans="1:5" ht="15">
      <c r="A5715" s="223" t="s">
        <v>278</v>
      </c>
      <c r="B5715" s="223">
        <v>24</v>
      </c>
      <c r="C5715" s="223">
        <v>33</v>
      </c>
      <c r="D5715" s="223">
        <v>5</v>
      </c>
      <c r="E5715" s="223">
        <v>2000</v>
      </c>
    </row>
    <row r="5716" spans="1:5" ht="15">
      <c r="A5716" s="223" t="s">
        <v>280</v>
      </c>
      <c r="B5716" s="223">
        <v>21</v>
      </c>
      <c r="C5716" s="223">
        <v>21</v>
      </c>
      <c r="D5716" s="223">
        <v>2</v>
      </c>
      <c r="E5716" s="223">
        <v>1177477</v>
      </c>
    </row>
    <row r="5717" spans="1:5" ht="15">
      <c r="A5717" s="223" t="s">
        <v>280</v>
      </c>
      <c r="B5717" s="223">
        <v>21</v>
      </c>
      <c r="C5717" s="223">
        <v>21</v>
      </c>
      <c r="D5717" s="223">
        <v>3</v>
      </c>
      <c r="E5717" s="223">
        <v>456971</v>
      </c>
    </row>
    <row r="5718" spans="1:5" ht="15">
      <c r="A5718" s="223" t="s">
        <v>280</v>
      </c>
      <c r="B5718" s="223">
        <v>21</v>
      </c>
      <c r="C5718" s="223">
        <v>21</v>
      </c>
      <c r="D5718" s="223">
        <v>4</v>
      </c>
      <c r="E5718" s="223">
        <v>548795</v>
      </c>
    </row>
    <row r="5719" spans="1:5" ht="15">
      <c r="A5719" s="223" t="s">
        <v>280</v>
      </c>
      <c r="B5719" s="223">
        <v>21</v>
      </c>
      <c r="C5719" s="223">
        <v>21</v>
      </c>
      <c r="D5719" s="223">
        <v>5</v>
      </c>
      <c r="E5719" s="223">
        <v>16000</v>
      </c>
    </row>
    <row r="5720" spans="1:5" ht="15">
      <c r="A5720" s="223" t="s">
        <v>280</v>
      </c>
      <c r="B5720" s="223">
        <v>21</v>
      </c>
      <c r="C5720" s="223">
        <v>21</v>
      </c>
      <c r="D5720" s="223">
        <v>7</v>
      </c>
      <c r="E5720" s="223">
        <v>25600</v>
      </c>
    </row>
    <row r="5721" spans="1:5" ht="15">
      <c r="A5721" s="223" t="s">
        <v>280</v>
      </c>
      <c r="B5721" s="223">
        <v>21</v>
      </c>
      <c r="C5721" s="223">
        <v>21</v>
      </c>
      <c r="D5721" s="223">
        <v>8</v>
      </c>
      <c r="E5721" s="223">
        <v>30000</v>
      </c>
    </row>
    <row r="5722" spans="1:5" ht="15">
      <c r="A5722" s="223" t="s">
        <v>280</v>
      </c>
      <c r="B5722" s="223">
        <v>21</v>
      </c>
      <c r="C5722" s="223">
        <v>23</v>
      </c>
      <c r="D5722" s="223">
        <v>2</v>
      </c>
      <c r="E5722" s="223">
        <v>160652</v>
      </c>
    </row>
    <row r="5723" spans="1:5" ht="15">
      <c r="A5723" s="223" t="s">
        <v>280</v>
      </c>
      <c r="B5723" s="223">
        <v>21</v>
      </c>
      <c r="C5723" s="223">
        <v>23</v>
      </c>
      <c r="D5723" s="223">
        <v>3</v>
      </c>
      <c r="E5723" s="223">
        <v>84879</v>
      </c>
    </row>
    <row r="5724" spans="1:5" ht="15">
      <c r="A5724" s="223" t="s">
        <v>280</v>
      </c>
      <c r="B5724" s="223">
        <v>21</v>
      </c>
      <c r="C5724" s="223">
        <v>23</v>
      </c>
      <c r="D5724" s="223">
        <v>4</v>
      </c>
      <c r="E5724" s="223">
        <v>89261</v>
      </c>
    </row>
    <row r="5725" spans="1:5" ht="15">
      <c r="A5725" s="223" t="s">
        <v>280</v>
      </c>
      <c r="B5725" s="223">
        <v>21</v>
      </c>
      <c r="C5725" s="223">
        <v>26</v>
      </c>
      <c r="D5725" s="223">
        <v>2</v>
      </c>
      <c r="E5725" s="223">
        <v>7996079</v>
      </c>
    </row>
    <row r="5726" spans="1:5" ht="15">
      <c r="A5726" s="223" t="s">
        <v>280</v>
      </c>
      <c r="B5726" s="223">
        <v>21</v>
      </c>
      <c r="C5726" s="223">
        <v>26</v>
      </c>
      <c r="D5726" s="223">
        <v>3</v>
      </c>
      <c r="E5726" s="223">
        <v>388104</v>
      </c>
    </row>
    <row r="5727" spans="1:5" ht="15">
      <c r="A5727" s="223" t="s">
        <v>280</v>
      </c>
      <c r="B5727" s="223">
        <v>21</v>
      </c>
      <c r="C5727" s="223">
        <v>26</v>
      </c>
      <c r="D5727" s="223">
        <v>4</v>
      </c>
      <c r="E5727" s="223">
        <v>3112663</v>
      </c>
    </row>
    <row r="5728" spans="1:5" ht="15">
      <c r="A5728" s="223" t="s">
        <v>280</v>
      </c>
      <c r="B5728" s="223">
        <v>21</v>
      </c>
      <c r="C5728" s="223">
        <v>26</v>
      </c>
      <c r="D5728" s="223">
        <v>5</v>
      </c>
      <c r="E5728" s="223">
        <v>55500</v>
      </c>
    </row>
    <row r="5729" spans="1:5" ht="15">
      <c r="A5729" s="223" t="s">
        <v>280</v>
      </c>
      <c r="B5729" s="223">
        <v>21</v>
      </c>
      <c r="C5729" s="223">
        <v>26</v>
      </c>
      <c r="D5729" s="223">
        <v>7</v>
      </c>
      <c r="E5729" s="223">
        <v>922629</v>
      </c>
    </row>
    <row r="5730" spans="1:5" ht="15">
      <c r="A5730" s="223" t="s">
        <v>280</v>
      </c>
      <c r="B5730" s="223">
        <v>21</v>
      </c>
      <c r="C5730" s="223">
        <v>26</v>
      </c>
      <c r="D5730" s="223">
        <v>8</v>
      </c>
      <c r="E5730" s="223">
        <v>7500</v>
      </c>
    </row>
    <row r="5731" spans="1:5" ht="15">
      <c r="A5731" s="223" t="s">
        <v>280</v>
      </c>
      <c r="B5731" s="223">
        <v>21</v>
      </c>
      <c r="C5731" s="223">
        <v>27</v>
      </c>
      <c r="D5731" s="223">
        <v>0</v>
      </c>
      <c r="E5731" s="223">
        <v>5000</v>
      </c>
    </row>
    <row r="5732" spans="1:5" ht="15">
      <c r="A5732" s="223" t="s">
        <v>280</v>
      </c>
      <c r="B5732" s="223">
        <v>21</v>
      </c>
      <c r="C5732" s="223">
        <v>27</v>
      </c>
      <c r="D5732" s="223">
        <v>2</v>
      </c>
      <c r="E5732" s="223">
        <v>10663473</v>
      </c>
    </row>
    <row r="5733" spans="1:5" ht="15">
      <c r="A5733" s="223" t="s">
        <v>280</v>
      </c>
      <c r="B5733" s="223">
        <v>21</v>
      </c>
      <c r="C5733" s="223">
        <v>27</v>
      </c>
      <c r="D5733" s="223">
        <v>3</v>
      </c>
      <c r="E5733" s="223">
        <v>12728774</v>
      </c>
    </row>
    <row r="5734" spans="1:5" ht="15">
      <c r="A5734" s="223" t="s">
        <v>280</v>
      </c>
      <c r="B5734" s="223">
        <v>21</v>
      </c>
      <c r="C5734" s="223">
        <v>27</v>
      </c>
      <c r="D5734" s="223">
        <v>4</v>
      </c>
      <c r="E5734" s="223">
        <v>11445153</v>
      </c>
    </row>
    <row r="5735" spans="1:5" ht="15">
      <c r="A5735" s="223" t="s">
        <v>280</v>
      </c>
      <c r="B5735" s="223">
        <v>21</v>
      </c>
      <c r="C5735" s="223">
        <v>27</v>
      </c>
      <c r="D5735" s="223">
        <v>5</v>
      </c>
      <c r="E5735" s="223">
        <v>102100</v>
      </c>
    </row>
    <row r="5736" spans="1:5" ht="15">
      <c r="A5736" s="223" t="s">
        <v>280</v>
      </c>
      <c r="B5736" s="223">
        <v>21</v>
      </c>
      <c r="C5736" s="223">
        <v>27</v>
      </c>
      <c r="D5736" s="223">
        <v>7</v>
      </c>
      <c r="E5736" s="223">
        <v>2790210</v>
      </c>
    </row>
    <row r="5737" spans="1:5" ht="15">
      <c r="A5737" s="223" t="s">
        <v>280</v>
      </c>
      <c r="B5737" s="223">
        <v>21</v>
      </c>
      <c r="C5737" s="223">
        <v>27</v>
      </c>
      <c r="D5737" s="223">
        <v>8</v>
      </c>
      <c r="E5737" s="223">
        <v>8000</v>
      </c>
    </row>
    <row r="5738" spans="1:5" ht="15">
      <c r="A5738" s="223" t="s">
        <v>280</v>
      </c>
      <c r="B5738" s="223">
        <v>21</v>
      </c>
      <c r="C5738" s="223">
        <v>31</v>
      </c>
      <c r="D5738" s="223">
        <v>2</v>
      </c>
      <c r="E5738" s="223">
        <v>1148149</v>
      </c>
    </row>
    <row r="5739" spans="1:5" ht="15">
      <c r="A5739" s="223" t="s">
        <v>280</v>
      </c>
      <c r="B5739" s="223">
        <v>21</v>
      </c>
      <c r="C5739" s="223">
        <v>31</v>
      </c>
      <c r="D5739" s="223">
        <v>3</v>
      </c>
      <c r="E5739" s="223">
        <v>36000</v>
      </c>
    </row>
    <row r="5740" spans="1:5" ht="15">
      <c r="A5740" s="223" t="s">
        <v>280</v>
      </c>
      <c r="B5740" s="223">
        <v>21</v>
      </c>
      <c r="C5740" s="223">
        <v>31</v>
      </c>
      <c r="D5740" s="223">
        <v>4</v>
      </c>
      <c r="E5740" s="223">
        <v>391605</v>
      </c>
    </row>
    <row r="5741" spans="1:5" ht="15">
      <c r="A5741" s="223" t="s">
        <v>280</v>
      </c>
      <c r="B5741" s="223">
        <v>21</v>
      </c>
      <c r="C5741" s="223">
        <v>31</v>
      </c>
      <c r="D5741" s="223">
        <v>5</v>
      </c>
      <c r="E5741" s="223">
        <v>5000</v>
      </c>
    </row>
    <row r="5742" spans="1:5" ht="15">
      <c r="A5742" s="223" t="s">
        <v>280</v>
      </c>
      <c r="B5742" s="223">
        <v>21</v>
      </c>
      <c r="C5742" s="223">
        <v>31</v>
      </c>
      <c r="D5742" s="223">
        <v>7</v>
      </c>
      <c r="E5742" s="223">
        <v>62000</v>
      </c>
    </row>
    <row r="5743" spans="1:5" ht="15">
      <c r="A5743" s="223" t="s">
        <v>280</v>
      </c>
      <c r="B5743" s="223">
        <v>21</v>
      </c>
      <c r="C5743" s="223">
        <v>31</v>
      </c>
      <c r="D5743" s="223">
        <v>8</v>
      </c>
      <c r="E5743" s="223">
        <v>12500</v>
      </c>
    </row>
    <row r="5744" spans="1:5" ht="15">
      <c r="A5744" s="223" t="s">
        <v>280</v>
      </c>
      <c r="B5744" s="223">
        <v>21</v>
      </c>
      <c r="C5744" s="223">
        <v>33</v>
      </c>
      <c r="D5744" s="223">
        <v>5</v>
      </c>
      <c r="E5744" s="223">
        <v>35000</v>
      </c>
    </row>
    <row r="5745" spans="1:5" ht="15">
      <c r="A5745" s="223" t="s">
        <v>280</v>
      </c>
      <c r="B5745" s="223">
        <v>21</v>
      </c>
      <c r="C5745" s="223">
        <v>33</v>
      </c>
      <c r="D5745" s="223">
        <v>7</v>
      </c>
      <c r="E5745" s="223">
        <v>62000</v>
      </c>
    </row>
    <row r="5746" spans="1:5" ht="15">
      <c r="A5746" s="223" t="s">
        <v>280</v>
      </c>
      <c r="B5746" s="223">
        <v>21</v>
      </c>
      <c r="C5746" s="223">
        <v>34</v>
      </c>
      <c r="D5746" s="223">
        <v>2</v>
      </c>
      <c r="E5746" s="223">
        <v>325854</v>
      </c>
    </row>
    <row r="5747" spans="1:5" ht="15">
      <c r="A5747" s="223" t="s">
        <v>280</v>
      </c>
      <c r="B5747" s="223">
        <v>21</v>
      </c>
      <c r="C5747" s="223">
        <v>34</v>
      </c>
      <c r="D5747" s="223">
        <v>4</v>
      </c>
      <c r="E5747" s="223">
        <v>61332</v>
      </c>
    </row>
    <row r="5748" spans="1:5" ht="15">
      <c r="A5748" s="223" t="s">
        <v>280</v>
      </c>
      <c r="B5748" s="223">
        <v>24</v>
      </c>
      <c r="C5748" s="223">
        <v>26</v>
      </c>
      <c r="D5748" s="223">
        <v>2</v>
      </c>
      <c r="E5748" s="223">
        <v>1000</v>
      </c>
    </row>
    <row r="5749" spans="1:5" ht="15">
      <c r="A5749" s="223" t="s">
        <v>280</v>
      </c>
      <c r="B5749" s="223">
        <v>24</v>
      </c>
      <c r="C5749" s="223">
        <v>26</v>
      </c>
      <c r="D5749" s="223">
        <v>4</v>
      </c>
      <c r="E5749" s="223">
        <v>225</v>
      </c>
    </row>
    <row r="5750" spans="1:5" ht="15">
      <c r="A5750" s="223" t="s">
        <v>280</v>
      </c>
      <c r="B5750" s="223">
        <v>24</v>
      </c>
      <c r="C5750" s="223">
        <v>27</v>
      </c>
      <c r="D5750" s="223">
        <v>2</v>
      </c>
      <c r="E5750" s="223">
        <v>3261801</v>
      </c>
    </row>
    <row r="5751" spans="1:5" ht="15">
      <c r="A5751" s="223" t="s">
        <v>280</v>
      </c>
      <c r="B5751" s="223">
        <v>24</v>
      </c>
      <c r="C5751" s="223">
        <v>27</v>
      </c>
      <c r="D5751" s="223">
        <v>3</v>
      </c>
      <c r="E5751" s="223">
        <v>32202</v>
      </c>
    </row>
    <row r="5752" spans="1:5" ht="15">
      <c r="A5752" s="223" t="s">
        <v>280</v>
      </c>
      <c r="B5752" s="223">
        <v>24</v>
      </c>
      <c r="C5752" s="223">
        <v>27</v>
      </c>
      <c r="D5752" s="223">
        <v>4</v>
      </c>
      <c r="E5752" s="223">
        <v>1225124</v>
      </c>
    </row>
    <row r="5753" spans="1:5" ht="15">
      <c r="A5753" s="223" t="s">
        <v>501</v>
      </c>
      <c r="B5753" s="223">
        <v>21</v>
      </c>
      <c r="C5753" s="223">
        <v>21</v>
      </c>
      <c r="D5753" s="223">
        <v>2</v>
      </c>
      <c r="E5753" s="223">
        <v>119353</v>
      </c>
    </row>
    <row r="5754" spans="1:5" ht="15">
      <c r="A5754" s="223" t="s">
        <v>501</v>
      </c>
      <c r="B5754" s="223">
        <v>21</v>
      </c>
      <c r="C5754" s="223">
        <v>21</v>
      </c>
      <c r="D5754" s="223">
        <v>3</v>
      </c>
      <c r="E5754" s="223">
        <v>34660</v>
      </c>
    </row>
    <row r="5755" spans="1:5" ht="15">
      <c r="A5755" s="223" t="s">
        <v>501</v>
      </c>
      <c r="B5755" s="223">
        <v>21</v>
      </c>
      <c r="C5755" s="223">
        <v>21</v>
      </c>
      <c r="D5755" s="223">
        <v>4</v>
      </c>
      <c r="E5755" s="223">
        <v>50345</v>
      </c>
    </row>
    <row r="5756" spans="1:5" ht="15">
      <c r="A5756" s="223" t="s">
        <v>501</v>
      </c>
      <c r="B5756" s="223">
        <v>21</v>
      </c>
      <c r="C5756" s="223">
        <v>21</v>
      </c>
      <c r="D5756" s="223">
        <v>5</v>
      </c>
      <c r="E5756" s="223">
        <v>900</v>
      </c>
    </row>
    <row r="5757" spans="1:5" ht="15">
      <c r="A5757" s="223" t="s">
        <v>501</v>
      </c>
      <c r="B5757" s="223">
        <v>21</v>
      </c>
      <c r="C5757" s="223">
        <v>21</v>
      </c>
      <c r="D5757" s="223">
        <v>7</v>
      </c>
      <c r="E5757" s="223">
        <v>17750</v>
      </c>
    </row>
    <row r="5758" spans="1:5" ht="15">
      <c r="A5758" s="223" t="s">
        <v>501</v>
      </c>
      <c r="B5758" s="223">
        <v>21</v>
      </c>
      <c r="C5758" s="223">
        <v>21</v>
      </c>
      <c r="D5758" s="223">
        <v>8</v>
      </c>
      <c r="E5758" s="223">
        <v>50</v>
      </c>
    </row>
    <row r="5759" spans="1:5" ht="15">
      <c r="A5759" s="223" t="s">
        <v>501</v>
      </c>
      <c r="B5759" s="223">
        <v>21</v>
      </c>
      <c r="C5759" s="223">
        <v>26</v>
      </c>
      <c r="D5759" s="223">
        <v>2</v>
      </c>
      <c r="E5759" s="223">
        <v>493909</v>
      </c>
    </row>
    <row r="5760" spans="1:5" ht="15">
      <c r="A5760" s="223" t="s">
        <v>501</v>
      </c>
      <c r="B5760" s="223">
        <v>21</v>
      </c>
      <c r="C5760" s="223">
        <v>26</v>
      </c>
      <c r="D5760" s="223">
        <v>4</v>
      </c>
      <c r="E5760" s="223">
        <v>169302</v>
      </c>
    </row>
    <row r="5761" spans="1:5" ht="15">
      <c r="A5761" s="223" t="s">
        <v>501</v>
      </c>
      <c r="B5761" s="223">
        <v>21</v>
      </c>
      <c r="C5761" s="223">
        <v>26</v>
      </c>
      <c r="D5761" s="223">
        <v>5</v>
      </c>
      <c r="E5761" s="223">
        <v>8000</v>
      </c>
    </row>
    <row r="5762" spans="1:5" ht="15">
      <c r="A5762" s="223" t="s">
        <v>501</v>
      </c>
      <c r="B5762" s="223">
        <v>21</v>
      </c>
      <c r="C5762" s="223">
        <v>26</v>
      </c>
      <c r="D5762" s="223">
        <v>7</v>
      </c>
      <c r="E5762" s="223">
        <v>15000</v>
      </c>
    </row>
    <row r="5763" spans="1:5" ht="15">
      <c r="A5763" s="223" t="s">
        <v>501</v>
      </c>
      <c r="B5763" s="223">
        <v>21</v>
      </c>
      <c r="C5763" s="223">
        <v>27</v>
      </c>
      <c r="D5763" s="223">
        <v>2</v>
      </c>
      <c r="E5763" s="223">
        <v>761318</v>
      </c>
    </row>
    <row r="5764" spans="1:5" ht="15">
      <c r="A5764" s="223" t="s">
        <v>501</v>
      </c>
      <c r="B5764" s="223">
        <v>21</v>
      </c>
      <c r="C5764" s="223">
        <v>27</v>
      </c>
      <c r="D5764" s="223">
        <v>3</v>
      </c>
      <c r="E5764" s="223">
        <v>677906</v>
      </c>
    </row>
    <row r="5765" spans="1:5" ht="15">
      <c r="A5765" s="223" t="s">
        <v>501</v>
      </c>
      <c r="B5765" s="223">
        <v>21</v>
      </c>
      <c r="C5765" s="223">
        <v>27</v>
      </c>
      <c r="D5765" s="223">
        <v>4</v>
      </c>
      <c r="E5765" s="223">
        <v>651032</v>
      </c>
    </row>
    <row r="5766" spans="1:5" ht="15">
      <c r="A5766" s="223" t="s">
        <v>501</v>
      </c>
      <c r="B5766" s="223">
        <v>21</v>
      </c>
      <c r="C5766" s="223">
        <v>27</v>
      </c>
      <c r="D5766" s="223">
        <v>5</v>
      </c>
      <c r="E5766" s="223">
        <v>1500</v>
      </c>
    </row>
    <row r="5767" spans="1:5" ht="15">
      <c r="A5767" s="223" t="s">
        <v>501</v>
      </c>
      <c r="B5767" s="223">
        <v>21</v>
      </c>
      <c r="C5767" s="223">
        <v>27</v>
      </c>
      <c r="D5767" s="223">
        <v>7</v>
      </c>
      <c r="E5767" s="223">
        <v>50000</v>
      </c>
    </row>
    <row r="5768" spans="1:5" ht="15">
      <c r="A5768" s="223" t="s">
        <v>501</v>
      </c>
      <c r="B5768" s="223">
        <v>21</v>
      </c>
      <c r="C5768" s="223">
        <v>31</v>
      </c>
      <c r="D5768" s="223">
        <v>5</v>
      </c>
      <c r="E5768" s="223">
        <v>100</v>
      </c>
    </row>
    <row r="5769" spans="1:5" ht="15">
      <c r="A5769" s="223" t="s">
        <v>501</v>
      </c>
      <c r="B5769" s="223">
        <v>21</v>
      </c>
      <c r="C5769" s="223">
        <v>31</v>
      </c>
      <c r="D5769" s="223">
        <v>7</v>
      </c>
      <c r="E5769" s="223">
        <v>15000</v>
      </c>
    </row>
    <row r="5770" spans="1:5" ht="15">
      <c r="A5770" s="223" t="s">
        <v>501</v>
      </c>
      <c r="B5770" s="223">
        <v>21</v>
      </c>
      <c r="C5770" s="223">
        <v>31</v>
      </c>
      <c r="D5770" s="223">
        <v>8</v>
      </c>
      <c r="E5770" s="223">
        <v>100</v>
      </c>
    </row>
    <row r="5771" spans="1:5" ht="15">
      <c r="A5771" s="223" t="s">
        <v>501</v>
      </c>
      <c r="B5771" s="223">
        <v>21</v>
      </c>
      <c r="C5771" s="223">
        <v>33</v>
      </c>
      <c r="D5771" s="223">
        <v>5</v>
      </c>
      <c r="E5771" s="223">
        <v>4000</v>
      </c>
    </row>
    <row r="5772" spans="1:5" ht="15">
      <c r="A5772" s="223" t="s">
        <v>501</v>
      </c>
      <c r="B5772" s="223">
        <v>24</v>
      </c>
      <c r="C5772" s="223">
        <v>21</v>
      </c>
      <c r="D5772" s="223">
        <v>2</v>
      </c>
      <c r="E5772" s="223">
        <v>31827</v>
      </c>
    </row>
    <row r="5773" spans="1:5" ht="15">
      <c r="A5773" s="223" t="s">
        <v>501</v>
      </c>
      <c r="B5773" s="223">
        <v>24</v>
      </c>
      <c r="C5773" s="223">
        <v>21</v>
      </c>
      <c r="D5773" s="223">
        <v>4</v>
      </c>
      <c r="E5773" s="223">
        <v>9570</v>
      </c>
    </row>
    <row r="5774" spans="1:5" ht="15">
      <c r="A5774" s="223" t="s">
        <v>501</v>
      </c>
      <c r="B5774" s="223">
        <v>24</v>
      </c>
      <c r="C5774" s="223">
        <v>26</v>
      </c>
      <c r="D5774" s="223">
        <v>7</v>
      </c>
      <c r="E5774" s="223">
        <v>35000</v>
      </c>
    </row>
    <row r="5775" spans="1:5" ht="15">
      <c r="A5775" s="223" t="s">
        <v>501</v>
      </c>
      <c r="B5775" s="223">
        <v>24</v>
      </c>
      <c r="C5775" s="223">
        <v>27</v>
      </c>
      <c r="D5775" s="223">
        <v>2</v>
      </c>
      <c r="E5775" s="223">
        <v>73886</v>
      </c>
    </row>
    <row r="5776" spans="1:5" ht="15">
      <c r="A5776" s="223" t="s">
        <v>501</v>
      </c>
      <c r="B5776" s="223">
        <v>24</v>
      </c>
      <c r="C5776" s="223">
        <v>27</v>
      </c>
      <c r="D5776" s="223">
        <v>3</v>
      </c>
      <c r="E5776" s="223">
        <v>123</v>
      </c>
    </row>
    <row r="5777" spans="1:5" ht="15">
      <c r="A5777" s="223" t="s">
        <v>501</v>
      </c>
      <c r="B5777" s="223">
        <v>24</v>
      </c>
      <c r="C5777" s="223">
        <v>27</v>
      </c>
      <c r="D5777" s="223">
        <v>4</v>
      </c>
      <c r="E5777" s="223">
        <v>30222</v>
      </c>
    </row>
    <row r="5778" spans="1:5" ht="15">
      <c r="A5778" s="223" t="s">
        <v>503</v>
      </c>
      <c r="B5778" s="223">
        <v>21</v>
      </c>
      <c r="C5778" s="223">
        <v>27</v>
      </c>
      <c r="D5778" s="223">
        <v>7</v>
      </c>
      <c r="E5778" s="223">
        <v>678804</v>
      </c>
    </row>
    <row r="5779" spans="1:5" ht="15">
      <c r="A5779" s="223" t="s">
        <v>505</v>
      </c>
      <c r="B5779" s="223">
        <v>21</v>
      </c>
      <c r="C5779" s="223">
        <v>21</v>
      </c>
      <c r="D5779" s="223">
        <v>5</v>
      </c>
      <c r="E5779" s="223">
        <v>3100</v>
      </c>
    </row>
    <row r="5780" spans="1:5" ht="15">
      <c r="A5780" s="223" t="s">
        <v>505</v>
      </c>
      <c r="B5780" s="223">
        <v>21</v>
      </c>
      <c r="C5780" s="223">
        <v>21</v>
      </c>
      <c r="D5780" s="223">
        <v>7</v>
      </c>
      <c r="E5780" s="223">
        <v>400</v>
      </c>
    </row>
    <row r="5781" spans="1:5" ht="15">
      <c r="A5781" s="223" t="s">
        <v>505</v>
      </c>
      <c r="B5781" s="223">
        <v>21</v>
      </c>
      <c r="C5781" s="223">
        <v>21</v>
      </c>
      <c r="D5781" s="223">
        <v>8</v>
      </c>
      <c r="E5781" s="223">
        <v>600</v>
      </c>
    </row>
    <row r="5782" spans="1:5" ht="15">
      <c r="A5782" s="223" t="s">
        <v>505</v>
      </c>
      <c r="B5782" s="223">
        <v>21</v>
      </c>
      <c r="C5782" s="223">
        <v>26</v>
      </c>
      <c r="D5782" s="223">
        <v>2</v>
      </c>
      <c r="E5782" s="223">
        <v>266002</v>
      </c>
    </row>
    <row r="5783" spans="1:5" ht="15">
      <c r="A5783" s="223" t="s">
        <v>505</v>
      </c>
      <c r="B5783" s="223">
        <v>21</v>
      </c>
      <c r="C5783" s="223">
        <v>26</v>
      </c>
      <c r="D5783" s="223">
        <v>4</v>
      </c>
      <c r="E5783" s="223">
        <v>131387</v>
      </c>
    </row>
    <row r="5784" spans="1:5" ht="15">
      <c r="A5784" s="223" t="s">
        <v>505</v>
      </c>
      <c r="B5784" s="223">
        <v>21</v>
      </c>
      <c r="C5784" s="223">
        <v>26</v>
      </c>
      <c r="D5784" s="223">
        <v>5</v>
      </c>
      <c r="E5784" s="223">
        <v>3000</v>
      </c>
    </row>
    <row r="5785" spans="1:5" ht="15">
      <c r="A5785" s="223" t="s">
        <v>505</v>
      </c>
      <c r="B5785" s="223">
        <v>21</v>
      </c>
      <c r="C5785" s="223">
        <v>26</v>
      </c>
      <c r="D5785" s="223">
        <v>7</v>
      </c>
      <c r="E5785" s="223">
        <v>223200</v>
      </c>
    </row>
    <row r="5786" spans="1:5" ht="15">
      <c r="A5786" s="223" t="s">
        <v>505</v>
      </c>
      <c r="B5786" s="223">
        <v>21</v>
      </c>
      <c r="C5786" s="223">
        <v>27</v>
      </c>
      <c r="D5786" s="223">
        <v>2</v>
      </c>
      <c r="E5786" s="223">
        <v>1159864</v>
      </c>
    </row>
    <row r="5787" spans="1:5" ht="15">
      <c r="A5787" s="223" t="s">
        <v>505</v>
      </c>
      <c r="B5787" s="223">
        <v>21</v>
      </c>
      <c r="C5787" s="223">
        <v>27</v>
      </c>
      <c r="D5787" s="223">
        <v>3</v>
      </c>
      <c r="E5787" s="223">
        <v>789943</v>
      </c>
    </row>
    <row r="5788" spans="1:5" ht="15">
      <c r="A5788" s="223" t="s">
        <v>505</v>
      </c>
      <c r="B5788" s="223">
        <v>21</v>
      </c>
      <c r="C5788" s="223">
        <v>27</v>
      </c>
      <c r="D5788" s="223">
        <v>4</v>
      </c>
      <c r="E5788" s="223">
        <v>992198</v>
      </c>
    </row>
    <row r="5789" spans="1:5" ht="15">
      <c r="A5789" s="223" t="s">
        <v>505</v>
      </c>
      <c r="B5789" s="223">
        <v>21</v>
      </c>
      <c r="C5789" s="223">
        <v>27</v>
      </c>
      <c r="D5789" s="223">
        <v>5</v>
      </c>
      <c r="E5789" s="223">
        <v>5500</v>
      </c>
    </row>
    <row r="5790" spans="1:5" ht="15">
      <c r="A5790" s="223" t="s">
        <v>505</v>
      </c>
      <c r="B5790" s="223">
        <v>21</v>
      </c>
      <c r="C5790" s="223">
        <v>27</v>
      </c>
      <c r="D5790" s="223">
        <v>7</v>
      </c>
      <c r="E5790" s="223">
        <v>31000</v>
      </c>
    </row>
    <row r="5791" spans="1:5" ht="15">
      <c r="A5791" s="223" t="s">
        <v>505</v>
      </c>
      <c r="B5791" s="223">
        <v>21</v>
      </c>
      <c r="C5791" s="223">
        <v>27</v>
      </c>
      <c r="D5791" s="223">
        <v>8</v>
      </c>
      <c r="E5791" s="223">
        <v>150</v>
      </c>
    </row>
    <row r="5792" spans="1:5" ht="15">
      <c r="A5792" s="223" t="s">
        <v>505</v>
      </c>
      <c r="B5792" s="223">
        <v>21</v>
      </c>
      <c r="C5792" s="223">
        <v>31</v>
      </c>
      <c r="D5792" s="223">
        <v>7</v>
      </c>
      <c r="E5792" s="223">
        <v>4200</v>
      </c>
    </row>
    <row r="5793" spans="1:5" ht="15">
      <c r="A5793" s="223" t="s">
        <v>505</v>
      </c>
      <c r="B5793" s="223">
        <v>21</v>
      </c>
      <c r="C5793" s="223">
        <v>32</v>
      </c>
      <c r="D5793" s="223">
        <v>5</v>
      </c>
      <c r="E5793" s="223">
        <v>7000</v>
      </c>
    </row>
    <row r="5794" spans="1:5" ht="15">
      <c r="A5794" s="223" t="s">
        <v>505</v>
      </c>
      <c r="B5794" s="223">
        <v>21</v>
      </c>
      <c r="C5794" s="223">
        <v>34</v>
      </c>
      <c r="D5794" s="223">
        <v>2</v>
      </c>
      <c r="E5794" s="223">
        <v>28037</v>
      </c>
    </row>
    <row r="5795" spans="1:5" ht="15">
      <c r="A5795" s="223" t="s">
        <v>505</v>
      </c>
      <c r="B5795" s="223">
        <v>21</v>
      </c>
      <c r="C5795" s="223">
        <v>34</v>
      </c>
      <c r="D5795" s="223">
        <v>4</v>
      </c>
      <c r="E5795" s="223">
        <v>7086</v>
      </c>
    </row>
    <row r="5796" spans="1:5" ht="15">
      <c r="A5796" s="223" t="s">
        <v>505</v>
      </c>
      <c r="B5796" s="223">
        <v>24</v>
      </c>
      <c r="C5796" s="223">
        <v>21</v>
      </c>
      <c r="D5796" s="223">
        <v>2</v>
      </c>
      <c r="E5796" s="223">
        <v>135713</v>
      </c>
    </row>
    <row r="5797" spans="1:5" ht="15">
      <c r="A5797" s="223" t="s">
        <v>505</v>
      </c>
      <c r="B5797" s="223">
        <v>24</v>
      </c>
      <c r="C5797" s="223">
        <v>21</v>
      </c>
      <c r="D5797" s="223">
        <v>3</v>
      </c>
      <c r="E5797" s="223">
        <v>69475</v>
      </c>
    </row>
    <row r="5798" spans="1:5" ht="15">
      <c r="A5798" s="223" t="s">
        <v>505</v>
      </c>
      <c r="B5798" s="223">
        <v>24</v>
      </c>
      <c r="C5798" s="223">
        <v>21</v>
      </c>
      <c r="D5798" s="223">
        <v>4</v>
      </c>
      <c r="E5798" s="223">
        <v>72433</v>
      </c>
    </row>
    <row r="5799" spans="1:5" ht="15">
      <c r="A5799" s="223" t="s">
        <v>505</v>
      </c>
      <c r="B5799" s="223">
        <v>24</v>
      </c>
      <c r="C5799" s="223">
        <v>21</v>
      </c>
      <c r="D5799" s="223">
        <v>5</v>
      </c>
      <c r="E5799" s="223">
        <v>200</v>
      </c>
    </row>
    <row r="5800" spans="1:5" ht="15">
      <c r="A5800" s="223" t="s">
        <v>505</v>
      </c>
      <c r="B5800" s="223">
        <v>24</v>
      </c>
      <c r="C5800" s="223">
        <v>27</v>
      </c>
      <c r="D5800" s="223">
        <v>2</v>
      </c>
      <c r="E5800" s="223">
        <v>1740</v>
      </c>
    </row>
    <row r="5801" spans="1:5" ht="15">
      <c r="A5801" s="223" t="s">
        <v>505</v>
      </c>
      <c r="B5801" s="223">
        <v>24</v>
      </c>
      <c r="C5801" s="223">
        <v>27</v>
      </c>
      <c r="D5801" s="223">
        <v>3</v>
      </c>
      <c r="E5801" s="223">
        <v>53002</v>
      </c>
    </row>
    <row r="5802" spans="1:5" ht="15">
      <c r="A5802" s="223" t="s">
        <v>505</v>
      </c>
      <c r="B5802" s="223">
        <v>24</v>
      </c>
      <c r="C5802" s="223">
        <v>27</v>
      </c>
      <c r="D5802" s="223">
        <v>4</v>
      </c>
      <c r="E5802" s="223">
        <v>21124</v>
      </c>
    </row>
    <row r="5803" spans="1:5" ht="15">
      <c r="A5803" s="223" t="s">
        <v>505</v>
      </c>
      <c r="B5803" s="223">
        <v>24</v>
      </c>
      <c r="C5803" s="223">
        <v>27</v>
      </c>
      <c r="D5803" s="223">
        <v>5</v>
      </c>
      <c r="E5803" s="223">
        <v>1000</v>
      </c>
    </row>
    <row r="5804" spans="1:5" ht="15">
      <c r="A5804" s="223" t="s">
        <v>505</v>
      </c>
      <c r="B5804" s="223">
        <v>24</v>
      </c>
      <c r="C5804" s="223">
        <v>27</v>
      </c>
      <c r="D5804" s="223">
        <v>7</v>
      </c>
      <c r="E5804" s="223">
        <v>136575</v>
      </c>
    </row>
    <row r="5805" spans="1:5" ht="15">
      <c r="A5805" s="223" t="s">
        <v>507</v>
      </c>
      <c r="B5805" s="223">
        <v>21</v>
      </c>
      <c r="C5805" s="223">
        <v>26</v>
      </c>
      <c r="D5805" s="223">
        <v>5</v>
      </c>
      <c r="E5805" s="223">
        <v>300</v>
      </c>
    </row>
    <row r="5806" spans="1:5" ht="15">
      <c r="A5806" s="223" t="s">
        <v>507</v>
      </c>
      <c r="B5806" s="223">
        <v>21</v>
      </c>
      <c r="C5806" s="223">
        <v>26</v>
      </c>
      <c r="D5806" s="223">
        <v>7</v>
      </c>
      <c r="E5806" s="223">
        <v>130185</v>
      </c>
    </row>
    <row r="5807" spans="1:5" ht="15">
      <c r="A5807" s="223" t="s">
        <v>507</v>
      </c>
      <c r="B5807" s="223">
        <v>21</v>
      </c>
      <c r="C5807" s="223">
        <v>27</v>
      </c>
      <c r="D5807" s="223">
        <v>2</v>
      </c>
      <c r="E5807" s="223">
        <v>1050</v>
      </c>
    </row>
    <row r="5808" spans="1:5" ht="15">
      <c r="A5808" s="223" t="s">
        <v>507</v>
      </c>
      <c r="B5808" s="223">
        <v>21</v>
      </c>
      <c r="C5808" s="223">
        <v>27</v>
      </c>
      <c r="D5808" s="223">
        <v>3</v>
      </c>
      <c r="E5808" s="223">
        <v>138329</v>
      </c>
    </row>
    <row r="5809" spans="1:5" ht="15">
      <c r="A5809" s="223" t="s">
        <v>507</v>
      </c>
      <c r="B5809" s="223">
        <v>21</v>
      </c>
      <c r="C5809" s="223">
        <v>27</v>
      </c>
      <c r="D5809" s="223">
        <v>4</v>
      </c>
      <c r="E5809" s="223">
        <v>90855</v>
      </c>
    </row>
    <row r="5810" spans="1:5" ht="15">
      <c r="A5810" s="223" t="s">
        <v>507</v>
      </c>
      <c r="B5810" s="223">
        <v>21</v>
      </c>
      <c r="C5810" s="223">
        <v>27</v>
      </c>
      <c r="D5810" s="223">
        <v>5</v>
      </c>
      <c r="E5810" s="223">
        <v>880</v>
      </c>
    </row>
    <row r="5811" spans="1:5" ht="15">
      <c r="A5811" s="223" t="s">
        <v>507</v>
      </c>
      <c r="B5811" s="223">
        <v>21</v>
      </c>
      <c r="C5811" s="223">
        <v>27</v>
      </c>
      <c r="D5811" s="223">
        <v>7</v>
      </c>
      <c r="E5811" s="223">
        <v>50231</v>
      </c>
    </row>
    <row r="5812" spans="1:5" ht="15">
      <c r="A5812" s="223" t="s">
        <v>507</v>
      </c>
      <c r="B5812" s="223">
        <v>21</v>
      </c>
      <c r="C5812" s="223">
        <v>31</v>
      </c>
      <c r="D5812" s="223">
        <v>7</v>
      </c>
      <c r="E5812" s="223">
        <v>100</v>
      </c>
    </row>
    <row r="5813" spans="1:5" ht="15">
      <c r="A5813" s="223" t="s">
        <v>507</v>
      </c>
      <c r="B5813" s="223">
        <v>21</v>
      </c>
      <c r="C5813" s="223">
        <v>32</v>
      </c>
      <c r="D5813" s="223">
        <v>5</v>
      </c>
      <c r="E5813" s="223">
        <v>200</v>
      </c>
    </row>
    <row r="5814" spans="1:5" ht="15">
      <c r="A5814" s="223" t="s">
        <v>507</v>
      </c>
      <c r="B5814" s="223">
        <v>24</v>
      </c>
      <c r="C5814" s="223">
        <v>26</v>
      </c>
      <c r="D5814" s="223">
        <v>7</v>
      </c>
      <c r="E5814" s="223">
        <v>682</v>
      </c>
    </row>
    <row r="5815" spans="1:5" ht="15">
      <c r="A5815" s="223" t="s">
        <v>507</v>
      </c>
      <c r="B5815" s="223">
        <v>24</v>
      </c>
      <c r="C5815" s="223">
        <v>27</v>
      </c>
      <c r="D5815" s="223">
        <v>7</v>
      </c>
      <c r="E5815" s="223">
        <v>67057</v>
      </c>
    </row>
    <row r="5816" spans="1:5" ht="15">
      <c r="A5816" s="223" t="s">
        <v>509</v>
      </c>
      <c r="B5816" s="223">
        <v>21</v>
      </c>
      <c r="C5816" s="223">
        <v>21</v>
      </c>
      <c r="D5816" s="223">
        <v>2</v>
      </c>
      <c r="E5816" s="223">
        <v>477329</v>
      </c>
    </row>
    <row r="5817" spans="1:5" ht="15">
      <c r="A5817" s="223" t="s">
        <v>509</v>
      </c>
      <c r="B5817" s="223">
        <v>21</v>
      </c>
      <c r="C5817" s="223">
        <v>21</v>
      </c>
      <c r="D5817" s="223">
        <v>3</v>
      </c>
      <c r="E5817" s="223">
        <v>73391</v>
      </c>
    </row>
    <row r="5818" spans="1:5" ht="15">
      <c r="A5818" s="223" t="s">
        <v>509</v>
      </c>
      <c r="B5818" s="223">
        <v>21</v>
      </c>
      <c r="C5818" s="223">
        <v>21</v>
      </c>
      <c r="D5818" s="223">
        <v>4</v>
      </c>
      <c r="E5818" s="223">
        <v>203080</v>
      </c>
    </row>
    <row r="5819" spans="1:5" ht="15">
      <c r="A5819" s="223" t="s">
        <v>509</v>
      </c>
      <c r="B5819" s="223">
        <v>21</v>
      </c>
      <c r="C5819" s="223">
        <v>23</v>
      </c>
      <c r="D5819" s="223">
        <v>3</v>
      </c>
      <c r="E5819" s="223">
        <v>12080</v>
      </c>
    </row>
    <row r="5820" spans="1:5" ht="15">
      <c r="A5820" s="223" t="s">
        <v>509</v>
      </c>
      <c r="B5820" s="223">
        <v>21</v>
      </c>
      <c r="C5820" s="223">
        <v>23</v>
      </c>
      <c r="D5820" s="223">
        <v>4</v>
      </c>
      <c r="E5820" s="223">
        <v>7635</v>
      </c>
    </row>
    <row r="5821" spans="1:5" ht="15">
      <c r="A5821" s="223" t="s">
        <v>509</v>
      </c>
      <c r="B5821" s="223">
        <v>21</v>
      </c>
      <c r="C5821" s="223">
        <v>24</v>
      </c>
      <c r="D5821" s="223">
        <v>3</v>
      </c>
      <c r="E5821" s="223">
        <v>71975</v>
      </c>
    </row>
    <row r="5822" spans="1:5" ht="15">
      <c r="A5822" s="223" t="s">
        <v>509</v>
      </c>
      <c r="B5822" s="223">
        <v>21</v>
      </c>
      <c r="C5822" s="223">
        <v>24</v>
      </c>
      <c r="D5822" s="223">
        <v>4</v>
      </c>
      <c r="E5822" s="223">
        <v>40582</v>
      </c>
    </row>
    <row r="5823" spans="1:5" ht="15">
      <c r="A5823" s="223" t="s">
        <v>509</v>
      </c>
      <c r="B5823" s="223">
        <v>21</v>
      </c>
      <c r="C5823" s="223">
        <v>25</v>
      </c>
      <c r="D5823" s="223">
        <v>3</v>
      </c>
      <c r="E5823" s="223">
        <v>154451</v>
      </c>
    </row>
    <row r="5824" spans="1:5" ht="15">
      <c r="A5824" s="223" t="s">
        <v>509</v>
      </c>
      <c r="B5824" s="223">
        <v>21</v>
      </c>
      <c r="C5824" s="223">
        <v>25</v>
      </c>
      <c r="D5824" s="223">
        <v>4</v>
      </c>
      <c r="E5824" s="223">
        <v>124534</v>
      </c>
    </row>
    <row r="5825" spans="1:5" ht="15">
      <c r="A5825" s="223" t="s">
        <v>509</v>
      </c>
      <c r="B5825" s="223">
        <v>21</v>
      </c>
      <c r="C5825" s="223">
        <v>26</v>
      </c>
      <c r="D5825" s="223">
        <v>2</v>
      </c>
      <c r="E5825" s="223">
        <v>1135565</v>
      </c>
    </row>
    <row r="5826" spans="1:5" ht="15">
      <c r="A5826" s="223" t="s">
        <v>509</v>
      </c>
      <c r="B5826" s="223">
        <v>21</v>
      </c>
      <c r="C5826" s="223">
        <v>26</v>
      </c>
      <c r="D5826" s="223">
        <v>3</v>
      </c>
      <c r="E5826" s="223">
        <v>47119</v>
      </c>
    </row>
    <row r="5827" spans="1:5" ht="15">
      <c r="A5827" s="223" t="s">
        <v>509</v>
      </c>
      <c r="B5827" s="223">
        <v>21</v>
      </c>
      <c r="C5827" s="223">
        <v>26</v>
      </c>
      <c r="D5827" s="223">
        <v>4</v>
      </c>
      <c r="E5827" s="223">
        <v>472804</v>
      </c>
    </row>
    <row r="5828" spans="1:5" ht="15">
      <c r="A5828" s="223" t="s">
        <v>509</v>
      </c>
      <c r="B5828" s="223">
        <v>21</v>
      </c>
      <c r="C5828" s="223">
        <v>26</v>
      </c>
      <c r="D5828" s="223">
        <v>7</v>
      </c>
      <c r="E5828" s="223">
        <v>400000</v>
      </c>
    </row>
    <row r="5829" spans="1:5" ht="15">
      <c r="A5829" s="223" t="s">
        <v>509</v>
      </c>
      <c r="B5829" s="223">
        <v>21</v>
      </c>
      <c r="C5829" s="223">
        <v>27</v>
      </c>
      <c r="D5829" s="223">
        <v>2</v>
      </c>
      <c r="E5829" s="223">
        <v>2445283</v>
      </c>
    </row>
    <row r="5830" spans="1:5" ht="15">
      <c r="A5830" s="223" t="s">
        <v>509</v>
      </c>
      <c r="B5830" s="223">
        <v>21</v>
      </c>
      <c r="C5830" s="223">
        <v>27</v>
      </c>
      <c r="D5830" s="223">
        <v>3</v>
      </c>
      <c r="E5830" s="223">
        <v>1192177</v>
      </c>
    </row>
    <row r="5831" spans="1:5" ht="15">
      <c r="A5831" s="223" t="s">
        <v>509</v>
      </c>
      <c r="B5831" s="223">
        <v>21</v>
      </c>
      <c r="C5831" s="223">
        <v>27</v>
      </c>
      <c r="D5831" s="223">
        <v>4</v>
      </c>
      <c r="E5831" s="223">
        <v>1851176</v>
      </c>
    </row>
    <row r="5832" spans="1:5" ht="15">
      <c r="A5832" s="223" t="s">
        <v>509</v>
      </c>
      <c r="B5832" s="223">
        <v>21</v>
      </c>
      <c r="C5832" s="223">
        <v>27</v>
      </c>
      <c r="D5832" s="223">
        <v>5</v>
      </c>
      <c r="E5832" s="223">
        <v>200000</v>
      </c>
    </row>
    <row r="5833" spans="1:5" ht="15">
      <c r="A5833" s="223" t="s">
        <v>509</v>
      </c>
      <c r="B5833" s="223">
        <v>21</v>
      </c>
      <c r="C5833" s="223">
        <v>31</v>
      </c>
      <c r="D5833" s="223">
        <v>2</v>
      </c>
      <c r="E5833" s="223">
        <v>3039</v>
      </c>
    </row>
    <row r="5834" spans="1:5" ht="15">
      <c r="A5834" s="223" t="s">
        <v>509</v>
      </c>
      <c r="B5834" s="223">
        <v>21</v>
      </c>
      <c r="C5834" s="223">
        <v>31</v>
      </c>
      <c r="D5834" s="223">
        <v>4</v>
      </c>
      <c r="E5834" s="223">
        <v>278</v>
      </c>
    </row>
    <row r="5835" spans="1:5" ht="15">
      <c r="A5835" s="223" t="s">
        <v>509</v>
      </c>
      <c r="B5835" s="223">
        <v>21</v>
      </c>
      <c r="C5835" s="223">
        <v>34</v>
      </c>
      <c r="D5835" s="223">
        <v>2</v>
      </c>
      <c r="E5835" s="223">
        <v>59231</v>
      </c>
    </row>
    <row r="5836" spans="1:5" ht="15">
      <c r="A5836" s="223" t="s">
        <v>509</v>
      </c>
      <c r="B5836" s="223">
        <v>21</v>
      </c>
      <c r="C5836" s="223">
        <v>34</v>
      </c>
      <c r="D5836" s="223">
        <v>4</v>
      </c>
      <c r="E5836" s="223">
        <v>14306</v>
      </c>
    </row>
    <row r="5837" spans="1:5" ht="15">
      <c r="A5837" s="223" t="s">
        <v>509</v>
      </c>
      <c r="B5837" s="223">
        <v>24</v>
      </c>
      <c r="C5837" s="223">
        <v>27</v>
      </c>
      <c r="D5837" s="223">
        <v>3</v>
      </c>
      <c r="E5837" s="223">
        <v>587935</v>
      </c>
    </row>
    <row r="5838" spans="1:5" ht="15">
      <c r="A5838" s="223" t="s">
        <v>509</v>
      </c>
      <c r="B5838" s="223">
        <v>24</v>
      </c>
      <c r="C5838" s="223">
        <v>27</v>
      </c>
      <c r="D5838" s="223">
        <v>4</v>
      </c>
      <c r="E5838" s="223">
        <v>425056</v>
      </c>
    </row>
    <row r="5839" spans="1:5" ht="15">
      <c r="A5839" s="223" t="s">
        <v>509</v>
      </c>
      <c r="B5839" s="223">
        <v>24</v>
      </c>
      <c r="C5839" s="223">
        <v>27</v>
      </c>
      <c r="D5839" s="223">
        <v>5</v>
      </c>
      <c r="E5839" s="223">
        <v>53000</v>
      </c>
    </row>
    <row r="5840" spans="1:5" ht="15">
      <c r="A5840" s="223" t="s">
        <v>511</v>
      </c>
      <c r="B5840" s="223">
        <v>21</v>
      </c>
      <c r="C5840" s="223">
        <v>21</v>
      </c>
      <c r="D5840" s="223">
        <v>2</v>
      </c>
      <c r="E5840" s="223">
        <v>120290</v>
      </c>
    </row>
    <row r="5841" spans="1:5" ht="15">
      <c r="A5841" s="223" t="s">
        <v>511</v>
      </c>
      <c r="B5841" s="223">
        <v>21</v>
      </c>
      <c r="C5841" s="223">
        <v>21</v>
      </c>
      <c r="D5841" s="223">
        <v>3</v>
      </c>
      <c r="E5841" s="223">
        <v>78064</v>
      </c>
    </row>
    <row r="5842" spans="1:5" ht="15">
      <c r="A5842" s="223" t="s">
        <v>511</v>
      </c>
      <c r="B5842" s="223">
        <v>21</v>
      </c>
      <c r="C5842" s="223">
        <v>21</v>
      </c>
      <c r="D5842" s="223">
        <v>4</v>
      </c>
      <c r="E5842" s="223">
        <v>74871</v>
      </c>
    </row>
    <row r="5843" spans="1:5" ht="15">
      <c r="A5843" s="223" t="s">
        <v>511</v>
      </c>
      <c r="B5843" s="223">
        <v>21</v>
      </c>
      <c r="C5843" s="223">
        <v>21</v>
      </c>
      <c r="D5843" s="223">
        <v>5</v>
      </c>
      <c r="E5843" s="223">
        <v>500</v>
      </c>
    </row>
    <row r="5844" spans="1:5" ht="15">
      <c r="A5844" s="223" t="s">
        <v>511</v>
      </c>
      <c r="B5844" s="223">
        <v>21</v>
      </c>
      <c r="C5844" s="223">
        <v>21</v>
      </c>
      <c r="D5844" s="223">
        <v>7</v>
      </c>
      <c r="E5844" s="223">
        <v>800</v>
      </c>
    </row>
    <row r="5845" spans="1:5" ht="15">
      <c r="A5845" s="223" t="s">
        <v>511</v>
      </c>
      <c r="B5845" s="223">
        <v>21</v>
      </c>
      <c r="C5845" s="223">
        <v>25</v>
      </c>
      <c r="D5845" s="223">
        <v>3</v>
      </c>
      <c r="E5845" s="223">
        <v>69099</v>
      </c>
    </row>
    <row r="5846" spans="1:5" ht="15">
      <c r="A5846" s="223" t="s">
        <v>511</v>
      </c>
      <c r="B5846" s="223">
        <v>21</v>
      </c>
      <c r="C5846" s="223">
        <v>25</v>
      </c>
      <c r="D5846" s="223">
        <v>4</v>
      </c>
      <c r="E5846" s="223">
        <v>40229</v>
      </c>
    </row>
    <row r="5847" spans="1:5" ht="15">
      <c r="A5847" s="223" t="s">
        <v>511</v>
      </c>
      <c r="B5847" s="223">
        <v>21</v>
      </c>
      <c r="C5847" s="223">
        <v>26</v>
      </c>
      <c r="D5847" s="223">
        <v>2</v>
      </c>
      <c r="E5847" s="223">
        <v>514612</v>
      </c>
    </row>
    <row r="5848" spans="1:5" ht="15">
      <c r="A5848" s="223" t="s">
        <v>511</v>
      </c>
      <c r="B5848" s="223">
        <v>21</v>
      </c>
      <c r="C5848" s="223">
        <v>26</v>
      </c>
      <c r="D5848" s="223">
        <v>3</v>
      </c>
      <c r="E5848" s="223">
        <v>70536</v>
      </c>
    </row>
    <row r="5849" spans="1:5" ht="15">
      <c r="A5849" s="223" t="s">
        <v>511</v>
      </c>
      <c r="B5849" s="223">
        <v>21</v>
      </c>
      <c r="C5849" s="223">
        <v>26</v>
      </c>
      <c r="D5849" s="223">
        <v>4</v>
      </c>
      <c r="E5849" s="223">
        <v>223158</v>
      </c>
    </row>
    <row r="5850" spans="1:5" ht="15">
      <c r="A5850" s="223" t="s">
        <v>511</v>
      </c>
      <c r="B5850" s="223">
        <v>21</v>
      </c>
      <c r="C5850" s="223">
        <v>26</v>
      </c>
      <c r="D5850" s="223">
        <v>5</v>
      </c>
      <c r="E5850" s="223">
        <v>500</v>
      </c>
    </row>
    <row r="5851" spans="1:5" ht="15">
      <c r="A5851" s="223" t="s">
        <v>511</v>
      </c>
      <c r="B5851" s="223">
        <v>21</v>
      </c>
      <c r="C5851" s="223">
        <v>26</v>
      </c>
      <c r="D5851" s="223">
        <v>8</v>
      </c>
      <c r="E5851" s="223">
        <v>3000</v>
      </c>
    </row>
    <row r="5852" spans="1:5" ht="15">
      <c r="A5852" s="223" t="s">
        <v>511</v>
      </c>
      <c r="B5852" s="223">
        <v>21</v>
      </c>
      <c r="C5852" s="223">
        <v>27</v>
      </c>
      <c r="D5852" s="223">
        <v>2</v>
      </c>
      <c r="E5852" s="223">
        <v>1529387</v>
      </c>
    </row>
    <row r="5853" spans="1:5" ht="15">
      <c r="A5853" s="223" t="s">
        <v>511</v>
      </c>
      <c r="B5853" s="223">
        <v>21</v>
      </c>
      <c r="C5853" s="223">
        <v>27</v>
      </c>
      <c r="D5853" s="223">
        <v>3</v>
      </c>
      <c r="E5853" s="223">
        <v>690044</v>
      </c>
    </row>
    <row r="5854" spans="1:5" ht="15">
      <c r="A5854" s="223" t="s">
        <v>511</v>
      </c>
      <c r="B5854" s="223">
        <v>21</v>
      </c>
      <c r="C5854" s="223">
        <v>27</v>
      </c>
      <c r="D5854" s="223">
        <v>4</v>
      </c>
      <c r="E5854" s="223">
        <v>1050782</v>
      </c>
    </row>
    <row r="5855" spans="1:5" ht="15">
      <c r="A5855" s="223" t="s">
        <v>511</v>
      </c>
      <c r="B5855" s="223">
        <v>21</v>
      </c>
      <c r="C5855" s="223">
        <v>27</v>
      </c>
      <c r="D5855" s="223">
        <v>5</v>
      </c>
      <c r="E5855" s="223">
        <v>813</v>
      </c>
    </row>
    <row r="5856" spans="1:5" ht="15">
      <c r="A5856" s="223" t="s">
        <v>511</v>
      </c>
      <c r="B5856" s="223">
        <v>21</v>
      </c>
      <c r="C5856" s="223">
        <v>27</v>
      </c>
      <c r="D5856" s="223">
        <v>7</v>
      </c>
      <c r="E5856" s="223">
        <v>137500</v>
      </c>
    </row>
    <row r="5857" spans="1:5" ht="15">
      <c r="A5857" s="223" t="s">
        <v>511</v>
      </c>
      <c r="B5857" s="223">
        <v>21</v>
      </c>
      <c r="C5857" s="223">
        <v>31</v>
      </c>
      <c r="D5857" s="223">
        <v>2</v>
      </c>
      <c r="E5857" s="223">
        <v>4000</v>
      </c>
    </row>
    <row r="5858" spans="1:5" ht="15">
      <c r="A5858" s="223" t="s">
        <v>511</v>
      </c>
      <c r="B5858" s="223">
        <v>21</v>
      </c>
      <c r="C5858" s="223">
        <v>31</v>
      </c>
      <c r="D5858" s="223">
        <v>3</v>
      </c>
      <c r="E5858" s="223">
        <v>3150</v>
      </c>
    </row>
    <row r="5859" spans="1:5" ht="15">
      <c r="A5859" s="223" t="s">
        <v>511</v>
      </c>
      <c r="B5859" s="223">
        <v>21</v>
      </c>
      <c r="C5859" s="223">
        <v>31</v>
      </c>
      <c r="D5859" s="223">
        <v>4</v>
      </c>
      <c r="E5859" s="223">
        <v>1058</v>
      </c>
    </row>
    <row r="5860" spans="1:5" ht="15">
      <c r="A5860" s="223" t="s">
        <v>511</v>
      </c>
      <c r="B5860" s="223">
        <v>21</v>
      </c>
      <c r="C5860" s="223">
        <v>31</v>
      </c>
      <c r="D5860" s="223">
        <v>7</v>
      </c>
      <c r="E5860" s="223">
        <v>1000</v>
      </c>
    </row>
    <row r="5861" spans="1:5" ht="15">
      <c r="A5861" s="223" t="s">
        <v>511</v>
      </c>
      <c r="B5861" s="223">
        <v>21</v>
      </c>
      <c r="C5861" s="223">
        <v>31</v>
      </c>
      <c r="D5861" s="223">
        <v>8</v>
      </c>
      <c r="E5861" s="223">
        <v>1000</v>
      </c>
    </row>
    <row r="5862" spans="1:5" ht="15">
      <c r="A5862" s="223" t="s">
        <v>511</v>
      </c>
      <c r="B5862" s="223">
        <v>21</v>
      </c>
      <c r="C5862" s="223">
        <v>34</v>
      </c>
      <c r="D5862" s="223">
        <v>2</v>
      </c>
      <c r="E5862" s="223">
        <v>21089</v>
      </c>
    </row>
    <row r="5863" spans="1:5" ht="15">
      <c r="A5863" s="223" t="s">
        <v>511</v>
      </c>
      <c r="B5863" s="223">
        <v>21</v>
      </c>
      <c r="C5863" s="223">
        <v>34</v>
      </c>
      <c r="D5863" s="223">
        <v>4</v>
      </c>
      <c r="E5863" s="223">
        <v>10399</v>
      </c>
    </row>
    <row r="5864" spans="1:5" ht="15">
      <c r="A5864" s="223" t="s">
        <v>511</v>
      </c>
      <c r="B5864" s="223">
        <v>23</v>
      </c>
      <c r="C5864" s="223">
        <v>26</v>
      </c>
      <c r="D5864" s="223">
        <v>2</v>
      </c>
      <c r="E5864" s="223">
        <v>38000</v>
      </c>
    </row>
    <row r="5865" spans="1:5" ht="15">
      <c r="A5865" s="223" t="s">
        <v>511</v>
      </c>
      <c r="B5865" s="223">
        <v>23</v>
      </c>
      <c r="C5865" s="223">
        <v>26</v>
      </c>
      <c r="D5865" s="223">
        <v>4</v>
      </c>
      <c r="E5865" s="223">
        <v>8550</v>
      </c>
    </row>
    <row r="5866" spans="1:5" ht="15">
      <c r="A5866" s="223" t="s">
        <v>511</v>
      </c>
      <c r="B5866" s="223">
        <v>23</v>
      </c>
      <c r="C5866" s="223">
        <v>27</v>
      </c>
      <c r="D5866" s="223">
        <v>2</v>
      </c>
      <c r="E5866" s="223">
        <v>20000</v>
      </c>
    </row>
    <row r="5867" spans="1:5" ht="15">
      <c r="A5867" s="223" t="s">
        <v>511</v>
      </c>
      <c r="B5867" s="223">
        <v>23</v>
      </c>
      <c r="C5867" s="223">
        <v>27</v>
      </c>
      <c r="D5867" s="223">
        <v>3</v>
      </c>
      <c r="E5867" s="223">
        <v>38200</v>
      </c>
    </row>
    <row r="5868" spans="1:5" ht="15">
      <c r="A5868" s="223" t="s">
        <v>511</v>
      </c>
      <c r="B5868" s="223">
        <v>23</v>
      </c>
      <c r="C5868" s="223">
        <v>27</v>
      </c>
      <c r="D5868" s="223">
        <v>4</v>
      </c>
      <c r="E5868" s="223">
        <v>12185</v>
      </c>
    </row>
    <row r="5869" spans="1:5" ht="15">
      <c r="A5869" s="223" t="s">
        <v>511</v>
      </c>
      <c r="B5869" s="223">
        <v>23</v>
      </c>
      <c r="C5869" s="223">
        <v>27</v>
      </c>
      <c r="D5869" s="223">
        <v>5</v>
      </c>
      <c r="E5869" s="223">
        <v>28922</v>
      </c>
    </row>
    <row r="5870" spans="1:5" ht="15">
      <c r="A5870" s="223" t="s">
        <v>511</v>
      </c>
      <c r="B5870" s="223">
        <v>23</v>
      </c>
      <c r="C5870" s="223">
        <v>27</v>
      </c>
      <c r="D5870" s="223">
        <v>7</v>
      </c>
      <c r="E5870" s="223">
        <v>32235</v>
      </c>
    </row>
    <row r="5871" spans="1:5" ht="15">
      <c r="A5871" s="223" t="s">
        <v>511</v>
      </c>
      <c r="B5871" s="223">
        <v>23</v>
      </c>
      <c r="C5871" s="223">
        <v>27</v>
      </c>
      <c r="D5871" s="223">
        <v>8</v>
      </c>
      <c r="E5871" s="223">
        <v>1229</v>
      </c>
    </row>
    <row r="5872" spans="1:5" ht="15">
      <c r="A5872" s="223" t="s">
        <v>511</v>
      </c>
      <c r="B5872" s="223">
        <v>24</v>
      </c>
      <c r="C5872" s="223">
        <v>26</v>
      </c>
      <c r="D5872" s="223">
        <v>3</v>
      </c>
      <c r="E5872" s="223">
        <v>333726</v>
      </c>
    </row>
    <row r="5873" spans="1:5" ht="15">
      <c r="A5873" s="223" t="s">
        <v>511</v>
      </c>
      <c r="B5873" s="223">
        <v>24</v>
      </c>
      <c r="C5873" s="223">
        <v>26</v>
      </c>
      <c r="D5873" s="223">
        <v>4</v>
      </c>
      <c r="E5873" s="223">
        <v>204616</v>
      </c>
    </row>
    <row r="5874" spans="1:5" ht="15">
      <c r="A5874" s="223" t="s">
        <v>511</v>
      </c>
      <c r="B5874" s="223">
        <v>24</v>
      </c>
      <c r="C5874" s="223">
        <v>26</v>
      </c>
      <c r="D5874" s="223">
        <v>7</v>
      </c>
      <c r="E5874" s="223">
        <v>199915</v>
      </c>
    </row>
    <row r="5875" spans="1:5" ht="15">
      <c r="A5875" s="223" t="s">
        <v>511</v>
      </c>
      <c r="B5875" s="223">
        <v>24</v>
      </c>
      <c r="C5875" s="223">
        <v>27</v>
      </c>
      <c r="D5875" s="223">
        <v>3</v>
      </c>
      <c r="E5875" s="223">
        <v>58892</v>
      </c>
    </row>
    <row r="5876" spans="1:5" ht="15">
      <c r="A5876" s="223" t="s">
        <v>511</v>
      </c>
      <c r="B5876" s="223">
        <v>24</v>
      </c>
      <c r="C5876" s="223">
        <v>27</v>
      </c>
      <c r="D5876" s="223">
        <v>4</v>
      </c>
      <c r="E5876" s="223">
        <v>33423</v>
      </c>
    </row>
    <row r="5877" spans="1:5" ht="15">
      <c r="A5877" s="223" t="s">
        <v>511</v>
      </c>
      <c r="B5877" s="223">
        <v>24</v>
      </c>
      <c r="C5877" s="223">
        <v>27</v>
      </c>
      <c r="D5877" s="223">
        <v>5</v>
      </c>
      <c r="E5877" s="223">
        <v>42295</v>
      </c>
    </row>
    <row r="5878" spans="1:5" ht="15">
      <c r="A5878" s="223" t="s">
        <v>511</v>
      </c>
      <c r="B5878" s="223">
        <v>24</v>
      </c>
      <c r="C5878" s="223">
        <v>31</v>
      </c>
      <c r="D5878" s="223">
        <v>2</v>
      </c>
      <c r="E5878" s="223">
        <v>4500</v>
      </c>
    </row>
    <row r="5879" spans="1:5" ht="15">
      <c r="A5879" s="223" t="s">
        <v>511</v>
      </c>
      <c r="B5879" s="223">
        <v>24</v>
      </c>
      <c r="C5879" s="223">
        <v>31</v>
      </c>
      <c r="D5879" s="223">
        <v>3</v>
      </c>
      <c r="E5879" s="223">
        <v>2398</v>
      </c>
    </row>
    <row r="5880" spans="1:5" ht="15">
      <c r="A5880" s="223" t="s">
        <v>511</v>
      </c>
      <c r="B5880" s="223">
        <v>24</v>
      </c>
      <c r="C5880" s="223">
        <v>31</v>
      </c>
      <c r="D5880" s="223">
        <v>4</v>
      </c>
      <c r="E5880" s="223">
        <v>1479</v>
      </c>
    </row>
    <row r="5881" spans="1:5" ht="15">
      <c r="A5881" s="223" t="s">
        <v>511</v>
      </c>
      <c r="B5881" s="223">
        <v>29</v>
      </c>
      <c r="C5881" s="223">
        <v>26</v>
      </c>
      <c r="D5881" s="223">
        <v>7</v>
      </c>
      <c r="E5881" s="223">
        <v>10800</v>
      </c>
    </row>
    <row r="5882" spans="1:5" ht="15">
      <c r="A5882" s="223" t="s">
        <v>511</v>
      </c>
      <c r="B5882" s="223">
        <v>29</v>
      </c>
      <c r="C5882" s="223">
        <v>27</v>
      </c>
      <c r="D5882" s="223">
        <v>3</v>
      </c>
      <c r="E5882" s="223">
        <v>54386</v>
      </c>
    </row>
    <row r="5883" spans="1:5" ht="15">
      <c r="A5883" s="223" t="s">
        <v>511</v>
      </c>
      <c r="B5883" s="223">
        <v>29</v>
      </c>
      <c r="C5883" s="223">
        <v>27</v>
      </c>
      <c r="D5883" s="223">
        <v>4</v>
      </c>
      <c r="E5883" s="223">
        <v>36027</v>
      </c>
    </row>
    <row r="5884" spans="1:5" ht="15">
      <c r="A5884" s="223" t="s">
        <v>511</v>
      </c>
      <c r="B5884" s="223">
        <v>29</v>
      </c>
      <c r="C5884" s="223">
        <v>27</v>
      </c>
      <c r="D5884" s="223">
        <v>7</v>
      </c>
      <c r="E5884" s="223">
        <v>68287</v>
      </c>
    </row>
    <row r="5885" spans="1:5" ht="15">
      <c r="A5885" s="223" t="s">
        <v>32</v>
      </c>
      <c r="B5885" s="223">
        <v>21</v>
      </c>
      <c r="C5885" s="223">
        <v>21</v>
      </c>
      <c r="D5885" s="223">
        <v>2</v>
      </c>
      <c r="E5885" s="223">
        <v>60135</v>
      </c>
    </row>
    <row r="5886" spans="1:5" ht="15">
      <c r="A5886" s="223" t="s">
        <v>32</v>
      </c>
      <c r="B5886" s="223">
        <v>21</v>
      </c>
      <c r="C5886" s="223">
        <v>21</v>
      </c>
      <c r="D5886" s="223">
        <v>3</v>
      </c>
      <c r="E5886" s="223">
        <v>29700</v>
      </c>
    </row>
    <row r="5887" spans="1:5" ht="15">
      <c r="A5887" s="223" t="s">
        <v>32</v>
      </c>
      <c r="B5887" s="223">
        <v>21</v>
      </c>
      <c r="C5887" s="223">
        <v>21</v>
      </c>
      <c r="D5887" s="223">
        <v>4</v>
      </c>
      <c r="E5887" s="223">
        <v>38146</v>
      </c>
    </row>
    <row r="5888" spans="1:5" ht="15">
      <c r="A5888" s="223" t="s">
        <v>32</v>
      </c>
      <c r="B5888" s="223">
        <v>21</v>
      </c>
      <c r="C5888" s="223">
        <v>21</v>
      </c>
      <c r="D5888" s="223">
        <v>5</v>
      </c>
      <c r="E5888" s="223">
        <v>10000</v>
      </c>
    </row>
    <row r="5889" spans="1:5" ht="15">
      <c r="A5889" s="223" t="s">
        <v>32</v>
      </c>
      <c r="B5889" s="223">
        <v>21</v>
      </c>
      <c r="C5889" s="223">
        <v>21</v>
      </c>
      <c r="D5889" s="223">
        <v>7</v>
      </c>
      <c r="E5889" s="223">
        <v>10000</v>
      </c>
    </row>
    <row r="5890" spans="1:5" ht="15">
      <c r="A5890" s="223" t="s">
        <v>32</v>
      </c>
      <c r="B5890" s="223">
        <v>21</v>
      </c>
      <c r="C5890" s="223">
        <v>21</v>
      </c>
      <c r="D5890" s="223">
        <v>8</v>
      </c>
      <c r="E5890" s="223">
        <v>300</v>
      </c>
    </row>
    <row r="5891" spans="1:5" ht="15">
      <c r="A5891" s="223" t="s">
        <v>32</v>
      </c>
      <c r="B5891" s="223">
        <v>21</v>
      </c>
      <c r="C5891" s="223">
        <v>26</v>
      </c>
      <c r="D5891" s="223">
        <v>2</v>
      </c>
      <c r="E5891" s="223">
        <v>104707</v>
      </c>
    </row>
    <row r="5892" spans="1:5" ht="15">
      <c r="A5892" s="223" t="s">
        <v>32</v>
      </c>
      <c r="B5892" s="223">
        <v>21</v>
      </c>
      <c r="C5892" s="223">
        <v>26</v>
      </c>
      <c r="D5892" s="223">
        <v>3</v>
      </c>
      <c r="E5892" s="223">
        <v>44975</v>
      </c>
    </row>
    <row r="5893" spans="1:5" ht="15">
      <c r="A5893" s="223" t="s">
        <v>32</v>
      </c>
      <c r="B5893" s="223">
        <v>21</v>
      </c>
      <c r="C5893" s="223">
        <v>26</v>
      </c>
      <c r="D5893" s="223">
        <v>4</v>
      </c>
      <c r="E5893" s="223">
        <v>54239</v>
      </c>
    </row>
    <row r="5894" spans="1:5" ht="15">
      <c r="A5894" s="223" t="s">
        <v>32</v>
      </c>
      <c r="B5894" s="223">
        <v>21</v>
      </c>
      <c r="C5894" s="223">
        <v>26</v>
      </c>
      <c r="D5894" s="223">
        <v>5</v>
      </c>
      <c r="E5894" s="223">
        <v>5000</v>
      </c>
    </row>
    <row r="5895" spans="1:5" ht="15">
      <c r="A5895" s="223" t="s">
        <v>32</v>
      </c>
      <c r="B5895" s="223">
        <v>21</v>
      </c>
      <c r="C5895" s="223">
        <v>26</v>
      </c>
      <c r="D5895" s="223">
        <v>7</v>
      </c>
      <c r="E5895" s="223">
        <v>20000</v>
      </c>
    </row>
    <row r="5896" spans="1:5" ht="15">
      <c r="A5896" s="223" t="s">
        <v>32</v>
      </c>
      <c r="B5896" s="223">
        <v>21</v>
      </c>
      <c r="C5896" s="223">
        <v>27</v>
      </c>
      <c r="D5896" s="223">
        <v>2</v>
      </c>
      <c r="E5896" s="223">
        <v>426311</v>
      </c>
    </row>
    <row r="5897" spans="1:5" ht="15">
      <c r="A5897" s="223" t="s">
        <v>32</v>
      </c>
      <c r="B5897" s="223">
        <v>21</v>
      </c>
      <c r="C5897" s="223">
        <v>27</v>
      </c>
      <c r="D5897" s="223">
        <v>3</v>
      </c>
      <c r="E5897" s="223">
        <v>167953</v>
      </c>
    </row>
    <row r="5898" spans="1:5" ht="15">
      <c r="A5898" s="223" t="s">
        <v>32</v>
      </c>
      <c r="B5898" s="223">
        <v>21</v>
      </c>
      <c r="C5898" s="223">
        <v>27</v>
      </c>
      <c r="D5898" s="223">
        <v>4</v>
      </c>
      <c r="E5898" s="223">
        <v>284132</v>
      </c>
    </row>
    <row r="5899" spans="1:5" ht="15">
      <c r="A5899" s="223" t="s">
        <v>32</v>
      </c>
      <c r="B5899" s="223">
        <v>21</v>
      </c>
      <c r="C5899" s="223">
        <v>27</v>
      </c>
      <c r="D5899" s="223">
        <v>5</v>
      </c>
      <c r="E5899" s="223">
        <v>5000</v>
      </c>
    </row>
    <row r="5900" spans="1:5" ht="15">
      <c r="A5900" s="223" t="s">
        <v>32</v>
      </c>
      <c r="B5900" s="223">
        <v>21</v>
      </c>
      <c r="C5900" s="223">
        <v>27</v>
      </c>
      <c r="D5900" s="223">
        <v>7</v>
      </c>
      <c r="E5900" s="223">
        <v>74181</v>
      </c>
    </row>
    <row r="5901" spans="1:5" ht="15">
      <c r="A5901" s="223" t="s">
        <v>32</v>
      </c>
      <c r="B5901" s="223">
        <v>21</v>
      </c>
      <c r="C5901" s="223">
        <v>27</v>
      </c>
      <c r="D5901" s="223">
        <v>8</v>
      </c>
      <c r="E5901" s="223">
        <v>300</v>
      </c>
    </row>
    <row r="5902" spans="1:5" ht="15">
      <c r="A5902" s="223" t="s">
        <v>32</v>
      </c>
      <c r="B5902" s="223">
        <v>21</v>
      </c>
      <c r="C5902" s="223">
        <v>31</v>
      </c>
      <c r="D5902" s="223">
        <v>2</v>
      </c>
      <c r="E5902" s="223">
        <v>500</v>
      </c>
    </row>
    <row r="5903" spans="1:5" ht="15">
      <c r="A5903" s="223" t="s">
        <v>32</v>
      </c>
      <c r="B5903" s="223">
        <v>21</v>
      </c>
      <c r="C5903" s="223">
        <v>31</v>
      </c>
      <c r="D5903" s="223">
        <v>3</v>
      </c>
      <c r="E5903" s="223">
        <v>195</v>
      </c>
    </row>
    <row r="5904" spans="1:5" ht="15">
      <c r="A5904" s="223" t="s">
        <v>32</v>
      </c>
      <c r="B5904" s="223">
        <v>21</v>
      </c>
      <c r="C5904" s="223">
        <v>31</v>
      </c>
      <c r="D5904" s="223">
        <v>4</v>
      </c>
      <c r="E5904" s="223">
        <v>60</v>
      </c>
    </row>
    <row r="5905" spans="1:5" ht="15">
      <c r="A5905" s="223" t="s">
        <v>32</v>
      </c>
      <c r="B5905" s="223">
        <v>21</v>
      </c>
      <c r="C5905" s="223">
        <v>31</v>
      </c>
      <c r="D5905" s="223">
        <v>7</v>
      </c>
      <c r="E5905" s="223">
        <v>14500</v>
      </c>
    </row>
    <row r="5906" spans="1:5" ht="15">
      <c r="A5906" s="223" t="s">
        <v>32</v>
      </c>
      <c r="B5906" s="223">
        <v>21</v>
      </c>
      <c r="C5906" s="223">
        <v>31</v>
      </c>
      <c r="D5906" s="223">
        <v>8</v>
      </c>
      <c r="E5906" s="223">
        <v>500</v>
      </c>
    </row>
    <row r="5907" spans="1:5" ht="15">
      <c r="A5907" s="223" t="s">
        <v>32</v>
      </c>
      <c r="B5907" s="223">
        <v>21</v>
      </c>
      <c r="C5907" s="223">
        <v>32</v>
      </c>
      <c r="D5907" s="223">
        <v>5</v>
      </c>
      <c r="E5907" s="223">
        <v>10000</v>
      </c>
    </row>
    <row r="5908" spans="1:5" ht="15">
      <c r="A5908" s="223" t="s">
        <v>32</v>
      </c>
      <c r="B5908" s="223">
        <v>21</v>
      </c>
      <c r="C5908" s="223">
        <v>32</v>
      </c>
      <c r="D5908" s="223">
        <v>7</v>
      </c>
      <c r="E5908" s="223">
        <v>1051</v>
      </c>
    </row>
    <row r="5909" spans="1:5" ht="15">
      <c r="A5909" s="223" t="s">
        <v>32</v>
      </c>
      <c r="B5909" s="223">
        <v>21</v>
      </c>
      <c r="C5909" s="223">
        <v>33</v>
      </c>
      <c r="D5909" s="223">
        <v>5</v>
      </c>
      <c r="E5909" s="223">
        <v>5000</v>
      </c>
    </row>
    <row r="5910" spans="1:5" ht="15">
      <c r="A5910" s="223" t="s">
        <v>32</v>
      </c>
      <c r="B5910" s="223">
        <v>24</v>
      </c>
      <c r="C5910" s="223">
        <v>21</v>
      </c>
      <c r="D5910" s="223">
        <v>5</v>
      </c>
      <c r="E5910" s="223">
        <v>1500</v>
      </c>
    </row>
    <row r="5911" spans="1:5" ht="15">
      <c r="A5911" s="223" t="s">
        <v>32</v>
      </c>
      <c r="B5911" s="223">
        <v>24</v>
      </c>
      <c r="C5911" s="223">
        <v>27</v>
      </c>
      <c r="D5911" s="223">
        <v>2</v>
      </c>
      <c r="E5911" s="223">
        <v>53282</v>
      </c>
    </row>
    <row r="5912" spans="1:5" ht="15">
      <c r="A5912" s="223" t="s">
        <v>32</v>
      </c>
      <c r="B5912" s="223">
        <v>24</v>
      </c>
      <c r="C5912" s="223">
        <v>27</v>
      </c>
      <c r="D5912" s="223">
        <v>3</v>
      </c>
      <c r="E5912" s="223">
        <v>97002</v>
      </c>
    </row>
    <row r="5913" spans="1:5" ht="15">
      <c r="A5913" s="223" t="s">
        <v>32</v>
      </c>
      <c r="B5913" s="223">
        <v>24</v>
      </c>
      <c r="C5913" s="223">
        <v>27</v>
      </c>
      <c r="D5913" s="223">
        <v>4</v>
      </c>
      <c r="E5913" s="223">
        <v>81700</v>
      </c>
    </row>
    <row r="5914" spans="1:5" ht="15">
      <c r="A5914" s="223" t="s">
        <v>32</v>
      </c>
      <c r="B5914" s="223">
        <v>24</v>
      </c>
      <c r="C5914" s="223">
        <v>27</v>
      </c>
      <c r="D5914" s="223">
        <v>5</v>
      </c>
      <c r="E5914" s="223">
        <v>5519</v>
      </c>
    </row>
    <row r="5915" spans="1:5" ht="15">
      <c r="A5915" s="223" t="s">
        <v>32</v>
      </c>
      <c r="B5915" s="223">
        <v>24</v>
      </c>
      <c r="C5915" s="223">
        <v>27</v>
      </c>
      <c r="D5915" s="223">
        <v>7</v>
      </c>
      <c r="E5915" s="223">
        <v>1000</v>
      </c>
    </row>
    <row r="5916" spans="1:5" ht="15">
      <c r="A5916" s="223" t="s">
        <v>32</v>
      </c>
      <c r="B5916" s="223">
        <v>24</v>
      </c>
      <c r="C5916" s="223">
        <v>31</v>
      </c>
      <c r="D5916" s="223">
        <v>7</v>
      </c>
      <c r="E5916" s="223">
        <v>1000</v>
      </c>
    </row>
    <row r="5917" spans="1:5" ht="15">
      <c r="A5917" s="223" t="s">
        <v>32</v>
      </c>
      <c r="B5917" s="223">
        <v>24</v>
      </c>
      <c r="C5917" s="223">
        <v>31</v>
      </c>
      <c r="D5917" s="223">
        <v>8</v>
      </c>
      <c r="E5917" s="223">
        <v>713</v>
      </c>
    </row>
    <row r="5918" spans="1:5" ht="15">
      <c r="A5918" s="223" t="s">
        <v>34</v>
      </c>
      <c r="B5918" s="223">
        <v>21</v>
      </c>
      <c r="C5918" s="223">
        <v>21</v>
      </c>
      <c r="D5918" s="223">
        <v>2</v>
      </c>
      <c r="E5918" s="223">
        <v>148077</v>
      </c>
    </row>
    <row r="5919" spans="1:5" ht="15">
      <c r="A5919" s="223" t="s">
        <v>34</v>
      </c>
      <c r="B5919" s="223">
        <v>21</v>
      </c>
      <c r="C5919" s="223">
        <v>21</v>
      </c>
      <c r="D5919" s="223">
        <v>3</v>
      </c>
      <c r="E5919" s="223">
        <v>41278</v>
      </c>
    </row>
    <row r="5920" spans="1:5" ht="15">
      <c r="A5920" s="223" t="s">
        <v>34</v>
      </c>
      <c r="B5920" s="223">
        <v>21</v>
      </c>
      <c r="C5920" s="223">
        <v>21</v>
      </c>
      <c r="D5920" s="223">
        <v>4</v>
      </c>
      <c r="E5920" s="223">
        <v>66851</v>
      </c>
    </row>
    <row r="5921" spans="1:5" ht="15">
      <c r="A5921" s="223" t="s">
        <v>34</v>
      </c>
      <c r="B5921" s="223">
        <v>21</v>
      </c>
      <c r="C5921" s="223">
        <v>21</v>
      </c>
      <c r="D5921" s="223">
        <v>5</v>
      </c>
      <c r="E5921" s="223">
        <v>1000</v>
      </c>
    </row>
    <row r="5922" spans="1:5" ht="15">
      <c r="A5922" s="223" t="s">
        <v>34</v>
      </c>
      <c r="B5922" s="223">
        <v>21</v>
      </c>
      <c r="C5922" s="223">
        <v>21</v>
      </c>
      <c r="D5922" s="223">
        <v>7</v>
      </c>
      <c r="E5922" s="223">
        <v>5300</v>
      </c>
    </row>
    <row r="5923" spans="1:5" ht="15">
      <c r="A5923" s="223" t="s">
        <v>34</v>
      </c>
      <c r="B5923" s="223">
        <v>21</v>
      </c>
      <c r="C5923" s="223">
        <v>26</v>
      </c>
      <c r="D5923" s="223">
        <v>2</v>
      </c>
      <c r="E5923" s="223">
        <v>678153</v>
      </c>
    </row>
    <row r="5924" spans="1:5" ht="15">
      <c r="A5924" s="223" t="s">
        <v>34</v>
      </c>
      <c r="B5924" s="223">
        <v>21</v>
      </c>
      <c r="C5924" s="223">
        <v>26</v>
      </c>
      <c r="D5924" s="223">
        <v>3</v>
      </c>
      <c r="E5924" s="223">
        <v>110620</v>
      </c>
    </row>
    <row r="5925" spans="1:5" ht="15">
      <c r="A5925" s="223" t="s">
        <v>34</v>
      </c>
      <c r="B5925" s="223">
        <v>21</v>
      </c>
      <c r="C5925" s="223">
        <v>26</v>
      </c>
      <c r="D5925" s="223">
        <v>4</v>
      </c>
      <c r="E5925" s="223">
        <v>301157</v>
      </c>
    </row>
    <row r="5926" spans="1:5" ht="15">
      <c r="A5926" s="223" t="s">
        <v>34</v>
      </c>
      <c r="B5926" s="223">
        <v>21</v>
      </c>
      <c r="C5926" s="223">
        <v>26</v>
      </c>
      <c r="D5926" s="223">
        <v>5</v>
      </c>
      <c r="E5926" s="223">
        <v>12000</v>
      </c>
    </row>
    <row r="5927" spans="1:5" ht="15">
      <c r="A5927" s="223" t="s">
        <v>34</v>
      </c>
      <c r="B5927" s="223">
        <v>21</v>
      </c>
      <c r="C5927" s="223">
        <v>26</v>
      </c>
      <c r="D5927" s="223">
        <v>7</v>
      </c>
      <c r="E5927" s="223">
        <v>80150</v>
      </c>
    </row>
    <row r="5928" spans="1:5" ht="15">
      <c r="A5928" s="223" t="s">
        <v>34</v>
      </c>
      <c r="B5928" s="223">
        <v>21</v>
      </c>
      <c r="C5928" s="223">
        <v>27</v>
      </c>
      <c r="D5928" s="223">
        <v>2</v>
      </c>
      <c r="E5928" s="223">
        <v>1856801</v>
      </c>
    </row>
    <row r="5929" spans="1:5" ht="15">
      <c r="A5929" s="223" t="s">
        <v>34</v>
      </c>
      <c r="B5929" s="223">
        <v>21</v>
      </c>
      <c r="C5929" s="223">
        <v>27</v>
      </c>
      <c r="D5929" s="223">
        <v>3</v>
      </c>
      <c r="E5929" s="223">
        <v>1233155</v>
      </c>
    </row>
    <row r="5930" spans="1:5" ht="15">
      <c r="A5930" s="223" t="s">
        <v>34</v>
      </c>
      <c r="B5930" s="223">
        <v>21</v>
      </c>
      <c r="C5930" s="223">
        <v>27</v>
      </c>
      <c r="D5930" s="223">
        <v>4</v>
      </c>
      <c r="E5930" s="223">
        <v>1522073</v>
      </c>
    </row>
    <row r="5931" spans="1:5" ht="15">
      <c r="A5931" s="223" t="s">
        <v>34</v>
      </c>
      <c r="B5931" s="223">
        <v>21</v>
      </c>
      <c r="C5931" s="223">
        <v>27</v>
      </c>
      <c r="D5931" s="223">
        <v>5</v>
      </c>
      <c r="E5931" s="223">
        <v>11350</v>
      </c>
    </row>
    <row r="5932" spans="1:5" ht="15">
      <c r="A5932" s="223" t="s">
        <v>34</v>
      </c>
      <c r="B5932" s="223">
        <v>21</v>
      </c>
      <c r="C5932" s="223">
        <v>27</v>
      </c>
      <c r="D5932" s="223">
        <v>7</v>
      </c>
      <c r="E5932" s="223">
        <v>810910</v>
      </c>
    </row>
    <row r="5933" spans="1:5" ht="15">
      <c r="A5933" s="223" t="s">
        <v>34</v>
      </c>
      <c r="B5933" s="223">
        <v>21</v>
      </c>
      <c r="C5933" s="223">
        <v>31</v>
      </c>
      <c r="D5933" s="223">
        <v>2</v>
      </c>
      <c r="E5933" s="223">
        <v>108230</v>
      </c>
    </row>
    <row r="5934" spans="1:5" ht="15">
      <c r="A5934" s="223" t="s">
        <v>34</v>
      </c>
      <c r="B5934" s="223">
        <v>21</v>
      </c>
      <c r="C5934" s="223">
        <v>31</v>
      </c>
      <c r="D5934" s="223">
        <v>4</v>
      </c>
      <c r="E5934" s="223">
        <v>36290</v>
      </c>
    </row>
    <row r="5935" spans="1:5" ht="15">
      <c r="A5935" s="223" t="s">
        <v>34</v>
      </c>
      <c r="B5935" s="223">
        <v>21</v>
      </c>
      <c r="C5935" s="223">
        <v>31</v>
      </c>
      <c r="D5935" s="223">
        <v>5</v>
      </c>
      <c r="E5935" s="223">
        <v>1500</v>
      </c>
    </row>
    <row r="5936" spans="1:5" ht="15">
      <c r="A5936" s="223" t="s">
        <v>34</v>
      </c>
      <c r="B5936" s="223">
        <v>21</v>
      </c>
      <c r="C5936" s="223">
        <v>31</v>
      </c>
      <c r="D5936" s="223">
        <v>7</v>
      </c>
      <c r="E5936" s="223">
        <v>1500</v>
      </c>
    </row>
    <row r="5937" spans="1:5" ht="15">
      <c r="A5937" s="223" t="s">
        <v>34</v>
      </c>
      <c r="B5937" s="223">
        <v>21</v>
      </c>
      <c r="C5937" s="223">
        <v>33</v>
      </c>
      <c r="D5937" s="223">
        <v>5</v>
      </c>
      <c r="E5937" s="223">
        <v>26000</v>
      </c>
    </row>
    <row r="5938" spans="1:5" ht="15">
      <c r="A5938" s="223" t="s">
        <v>34</v>
      </c>
      <c r="B5938" s="223">
        <v>21</v>
      </c>
      <c r="C5938" s="223">
        <v>34</v>
      </c>
      <c r="D5938" s="223">
        <v>2</v>
      </c>
      <c r="E5938" s="223">
        <v>25129</v>
      </c>
    </row>
    <row r="5939" spans="1:5" ht="15">
      <c r="A5939" s="223" t="s">
        <v>34</v>
      </c>
      <c r="B5939" s="223">
        <v>21</v>
      </c>
      <c r="C5939" s="223">
        <v>34</v>
      </c>
      <c r="D5939" s="223">
        <v>4</v>
      </c>
      <c r="E5939" s="223">
        <v>9805</v>
      </c>
    </row>
    <row r="5940" spans="1:5" ht="15">
      <c r="A5940" s="223" t="s">
        <v>34</v>
      </c>
      <c r="B5940" s="223">
        <v>24</v>
      </c>
      <c r="C5940" s="223">
        <v>26</v>
      </c>
      <c r="D5940" s="223">
        <v>2</v>
      </c>
      <c r="E5940" s="223">
        <v>473790</v>
      </c>
    </row>
    <row r="5941" spans="1:5" ht="15">
      <c r="A5941" s="223" t="s">
        <v>34</v>
      </c>
      <c r="B5941" s="223">
        <v>24</v>
      </c>
      <c r="C5941" s="223">
        <v>26</v>
      </c>
      <c r="D5941" s="223">
        <v>4</v>
      </c>
      <c r="E5941" s="223">
        <v>166239</v>
      </c>
    </row>
    <row r="5942" spans="1:5" ht="15">
      <c r="A5942" s="223" t="s">
        <v>34</v>
      </c>
      <c r="B5942" s="223">
        <v>24</v>
      </c>
      <c r="C5942" s="223">
        <v>27</v>
      </c>
      <c r="D5942" s="223">
        <v>3</v>
      </c>
      <c r="E5942" s="223">
        <v>33089</v>
      </c>
    </row>
    <row r="5943" spans="1:5" ht="15">
      <c r="A5943" s="223" t="s">
        <v>34</v>
      </c>
      <c r="B5943" s="223">
        <v>24</v>
      </c>
      <c r="C5943" s="223">
        <v>27</v>
      </c>
      <c r="D5943" s="223">
        <v>4</v>
      </c>
      <c r="E5943" s="223">
        <v>19302</v>
      </c>
    </row>
    <row r="5944" spans="1:5" ht="15">
      <c r="A5944" s="223" t="s">
        <v>36</v>
      </c>
      <c r="B5944" s="223">
        <v>21</v>
      </c>
      <c r="C5944" s="223">
        <v>26</v>
      </c>
      <c r="D5944" s="223">
        <v>7</v>
      </c>
      <c r="E5944" s="223">
        <v>14273</v>
      </c>
    </row>
    <row r="5945" spans="1:5" ht="15">
      <c r="A5945" s="223" t="s">
        <v>36</v>
      </c>
      <c r="B5945" s="223">
        <v>21</v>
      </c>
      <c r="C5945" s="223">
        <v>27</v>
      </c>
      <c r="D5945" s="223">
        <v>2</v>
      </c>
      <c r="E5945" s="223">
        <v>59853</v>
      </c>
    </row>
    <row r="5946" spans="1:5" ht="15">
      <c r="A5946" s="223" t="s">
        <v>36</v>
      </c>
      <c r="B5946" s="223">
        <v>21</v>
      </c>
      <c r="C5946" s="223">
        <v>27</v>
      </c>
      <c r="D5946" s="223">
        <v>3</v>
      </c>
      <c r="E5946" s="223">
        <v>18109</v>
      </c>
    </row>
    <row r="5947" spans="1:5" ht="15">
      <c r="A5947" s="223" t="s">
        <v>36</v>
      </c>
      <c r="B5947" s="223">
        <v>21</v>
      </c>
      <c r="C5947" s="223">
        <v>27</v>
      </c>
      <c r="D5947" s="223">
        <v>4</v>
      </c>
      <c r="E5947" s="223">
        <v>38446</v>
      </c>
    </row>
    <row r="5948" spans="1:5" ht="15">
      <c r="A5948" s="223" t="s">
        <v>36</v>
      </c>
      <c r="B5948" s="223">
        <v>21</v>
      </c>
      <c r="C5948" s="223">
        <v>27</v>
      </c>
      <c r="D5948" s="223">
        <v>8</v>
      </c>
      <c r="E5948" s="223">
        <v>5000</v>
      </c>
    </row>
    <row r="5949" spans="1:5" ht="15">
      <c r="A5949" s="223" t="s">
        <v>36</v>
      </c>
      <c r="B5949" s="223">
        <v>21</v>
      </c>
      <c r="C5949" s="223">
        <v>34</v>
      </c>
      <c r="D5949" s="223">
        <v>2</v>
      </c>
      <c r="E5949" s="223">
        <v>961</v>
      </c>
    </row>
    <row r="5950" spans="1:5" ht="15">
      <c r="A5950" s="223" t="s">
        <v>36</v>
      </c>
      <c r="B5950" s="223">
        <v>21</v>
      </c>
      <c r="C5950" s="223">
        <v>34</v>
      </c>
      <c r="D5950" s="223">
        <v>4</v>
      </c>
      <c r="E5950" s="223">
        <v>235</v>
      </c>
    </row>
    <row r="5951" spans="1:5" ht="15">
      <c r="A5951" s="223" t="s">
        <v>36</v>
      </c>
      <c r="B5951" s="223">
        <v>24</v>
      </c>
      <c r="C5951" s="223">
        <v>26</v>
      </c>
      <c r="D5951" s="223">
        <v>7</v>
      </c>
      <c r="E5951" s="223">
        <v>22837</v>
      </c>
    </row>
    <row r="5952" spans="1:5" ht="15">
      <c r="A5952" s="223" t="s">
        <v>520</v>
      </c>
      <c r="B5952" s="223">
        <v>21</v>
      </c>
      <c r="C5952" s="223">
        <v>29</v>
      </c>
      <c r="D5952" s="223">
        <v>7</v>
      </c>
      <c r="E5952" s="223">
        <v>374073</v>
      </c>
    </row>
    <row r="5953" spans="1:5" ht="15">
      <c r="A5953" s="223" t="s">
        <v>522</v>
      </c>
      <c r="B5953" s="223">
        <v>21</v>
      </c>
      <c r="C5953" s="223">
        <v>21</v>
      </c>
      <c r="D5953" s="223">
        <v>2</v>
      </c>
      <c r="E5953" s="223">
        <v>10857</v>
      </c>
    </row>
    <row r="5954" spans="1:5" ht="15">
      <c r="A5954" s="223" t="s">
        <v>522</v>
      </c>
      <c r="B5954" s="223">
        <v>21</v>
      </c>
      <c r="C5954" s="223">
        <v>21</v>
      </c>
      <c r="D5954" s="223">
        <v>4</v>
      </c>
      <c r="E5954" s="223">
        <v>3661</v>
      </c>
    </row>
    <row r="5955" spans="1:5" ht="15">
      <c r="A5955" s="223" t="s">
        <v>522</v>
      </c>
      <c r="B5955" s="223">
        <v>21</v>
      </c>
      <c r="C5955" s="223">
        <v>26</v>
      </c>
      <c r="D5955" s="223">
        <v>2</v>
      </c>
      <c r="E5955" s="223">
        <v>150928</v>
      </c>
    </row>
    <row r="5956" spans="1:5" ht="15">
      <c r="A5956" s="223" t="s">
        <v>522</v>
      </c>
      <c r="B5956" s="223">
        <v>21</v>
      </c>
      <c r="C5956" s="223">
        <v>26</v>
      </c>
      <c r="D5956" s="223">
        <v>4</v>
      </c>
      <c r="E5956" s="223">
        <v>59120</v>
      </c>
    </row>
    <row r="5957" spans="1:5" ht="15">
      <c r="A5957" s="223" t="s">
        <v>522</v>
      </c>
      <c r="B5957" s="223">
        <v>21</v>
      </c>
      <c r="C5957" s="223">
        <v>27</v>
      </c>
      <c r="D5957" s="223">
        <v>2</v>
      </c>
      <c r="E5957" s="223">
        <v>117048</v>
      </c>
    </row>
    <row r="5958" spans="1:5" ht="15">
      <c r="A5958" s="223" t="s">
        <v>522</v>
      </c>
      <c r="B5958" s="223">
        <v>21</v>
      </c>
      <c r="C5958" s="223">
        <v>27</v>
      </c>
      <c r="D5958" s="223">
        <v>3</v>
      </c>
      <c r="E5958" s="223">
        <v>198796</v>
      </c>
    </row>
    <row r="5959" spans="1:5" ht="15">
      <c r="A5959" s="223" t="s">
        <v>522</v>
      </c>
      <c r="B5959" s="223">
        <v>21</v>
      </c>
      <c r="C5959" s="223">
        <v>27</v>
      </c>
      <c r="D5959" s="223">
        <v>4</v>
      </c>
      <c r="E5959" s="223">
        <v>167157</v>
      </c>
    </row>
    <row r="5960" spans="1:5" ht="15">
      <c r="A5960" s="223" t="s">
        <v>522</v>
      </c>
      <c r="B5960" s="223">
        <v>21</v>
      </c>
      <c r="C5960" s="223">
        <v>27</v>
      </c>
      <c r="D5960" s="223">
        <v>5</v>
      </c>
      <c r="E5960" s="223">
        <v>5000</v>
      </c>
    </row>
    <row r="5961" spans="1:5" ht="15">
      <c r="A5961" s="223" t="s">
        <v>522</v>
      </c>
      <c r="B5961" s="223">
        <v>21</v>
      </c>
      <c r="C5961" s="223">
        <v>27</v>
      </c>
      <c r="D5961" s="223">
        <v>7</v>
      </c>
      <c r="E5961" s="223">
        <v>10000</v>
      </c>
    </row>
    <row r="5962" spans="1:5" ht="15">
      <c r="A5962" s="223" t="s">
        <v>522</v>
      </c>
      <c r="B5962" s="223">
        <v>24</v>
      </c>
      <c r="C5962" s="223">
        <v>26</v>
      </c>
      <c r="D5962" s="223">
        <v>2</v>
      </c>
      <c r="E5962" s="223">
        <v>76807</v>
      </c>
    </row>
    <row r="5963" spans="1:5" ht="15">
      <c r="A5963" s="223" t="s">
        <v>522</v>
      </c>
      <c r="B5963" s="223">
        <v>24</v>
      </c>
      <c r="C5963" s="223">
        <v>26</v>
      </c>
      <c r="D5963" s="223">
        <v>4</v>
      </c>
      <c r="E5963" s="223">
        <v>29689</v>
      </c>
    </row>
    <row r="5964" spans="1:5" ht="15">
      <c r="A5964" s="223" t="s">
        <v>522</v>
      </c>
      <c r="B5964" s="223">
        <v>24</v>
      </c>
      <c r="C5964" s="223">
        <v>26</v>
      </c>
      <c r="D5964" s="223">
        <v>7</v>
      </c>
      <c r="E5964" s="223">
        <v>9704</v>
      </c>
    </row>
    <row r="5965" spans="1:5" ht="15">
      <c r="A5965" s="223" t="s">
        <v>522</v>
      </c>
      <c r="B5965" s="223">
        <v>29</v>
      </c>
      <c r="C5965" s="223">
        <v>27</v>
      </c>
      <c r="D5965" s="223">
        <v>3</v>
      </c>
      <c r="E5965" s="223">
        <v>20833</v>
      </c>
    </row>
    <row r="5966" spans="1:5" ht="15">
      <c r="A5966" s="223" t="s">
        <v>522</v>
      </c>
      <c r="B5966" s="223">
        <v>29</v>
      </c>
      <c r="C5966" s="223">
        <v>27</v>
      </c>
      <c r="D5966" s="223">
        <v>4</v>
      </c>
      <c r="E5966" s="223">
        <v>12877</v>
      </c>
    </row>
    <row r="5967" spans="1:5" ht="15">
      <c r="A5967" s="223" t="s">
        <v>522</v>
      </c>
      <c r="B5967" s="223">
        <v>29</v>
      </c>
      <c r="C5967" s="223">
        <v>27</v>
      </c>
      <c r="D5967" s="223">
        <v>5</v>
      </c>
      <c r="E5967" s="223">
        <v>5000</v>
      </c>
    </row>
    <row r="5968" spans="1:5" ht="15">
      <c r="A5968" s="223" t="s">
        <v>522</v>
      </c>
      <c r="B5968" s="223">
        <v>29</v>
      </c>
      <c r="C5968" s="223">
        <v>27</v>
      </c>
      <c r="D5968" s="223">
        <v>7</v>
      </c>
      <c r="E5968" s="223">
        <v>30000</v>
      </c>
    </row>
    <row r="5969" spans="1:5" ht="15">
      <c r="A5969" s="223" t="s">
        <v>485</v>
      </c>
      <c r="B5969" s="223">
        <v>21</v>
      </c>
      <c r="C5969" s="223">
        <v>21</v>
      </c>
      <c r="D5969" s="223">
        <v>2</v>
      </c>
      <c r="E5969" s="223">
        <v>538901</v>
      </c>
    </row>
    <row r="5970" spans="1:5" ht="15">
      <c r="A5970" s="223" t="s">
        <v>485</v>
      </c>
      <c r="B5970" s="223">
        <v>21</v>
      </c>
      <c r="C5970" s="223">
        <v>21</v>
      </c>
      <c r="D5970" s="223">
        <v>3</v>
      </c>
      <c r="E5970" s="223">
        <v>169428</v>
      </c>
    </row>
    <row r="5971" spans="1:5" ht="15">
      <c r="A5971" s="223" t="s">
        <v>485</v>
      </c>
      <c r="B5971" s="223">
        <v>21</v>
      </c>
      <c r="C5971" s="223">
        <v>21</v>
      </c>
      <c r="D5971" s="223">
        <v>4</v>
      </c>
      <c r="E5971" s="223">
        <v>257343</v>
      </c>
    </row>
    <row r="5972" spans="1:5" ht="15">
      <c r="A5972" s="223" t="s">
        <v>485</v>
      </c>
      <c r="B5972" s="223">
        <v>21</v>
      </c>
      <c r="C5972" s="223">
        <v>21</v>
      </c>
      <c r="D5972" s="223">
        <v>5</v>
      </c>
      <c r="E5972" s="223">
        <v>3425</v>
      </c>
    </row>
    <row r="5973" spans="1:5" ht="15">
      <c r="A5973" s="223" t="s">
        <v>485</v>
      </c>
      <c r="B5973" s="223">
        <v>21</v>
      </c>
      <c r="C5973" s="223">
        <v>21</v>
      </c>
      <c r="D5973" s="223">
        <v>7</v>
      </c>
      <c r="E5973" s="223">
        <v>1250</v>
      </c>
    </row>
    <row r="5974" spans="1:5" ht="15">
      <c r="A5974" s="223" t="s">
        <v>485</v>
      </c>
      <c r="B5974" s="223">
        <v>21</v>
      </c>
      <c r="C5974" s="223">
        <v>24</v>
      </c>
      <c r="D5974" s="223">
        <v>3</v>
      </c>
      <c r="E5974" s="223">
        <v>37868</v>
      </c>
    </row>
    <row r="5975" spans="1:5" ht="15">
      <c r="A5975" s="223" t="s">
        <v>485</v>
      </c>
      <c r="B5975" s="223">
        <v>21</v>
      </c>
      <c r="C5975" s="223">
        <v>24</v>
      </c>
      <c r="D5975" s="223">
        <v>4</v>
      </c>
      <c r="E5975" s="223">
        <v>14402</v>
      </c>
    </row>
    <row r="5976" spans="1:5" ht="15">
      <c r="A5976" s="223" t="s">
        <v>485</v>
      </c>
      <c r="B5976" s="223">
        <v>21</v>
      </c>
      <c r="C5976" s="223">
        <v>26</v>
      </c>
      <c r="D5976" s="223">
        <v>2</v>
      </c>
      <c r="E5976" s="223">
        <v>2055937</v>
      </c>
    </row>
    <row r="5977" spans="1:5" ht="15">
      <c r="A5977" s="223" t="s">
        <v>485</v>
      </c>
      <c r="B5977" s="223">
        <v>21</v>
      </c>
      <c r="C5977" s="223">
        <v>26</v>
      </c>
      <c r="D5977" s="223">
        <v>3</v>
      </c>
      <c r="E5977" s="223">
        <v>73509</v>
      </c>
    </row>
    <row r="5978" spans="1:5" ht="15">
      <c r="A5978" s="223" t="s">
        <v>485</v>
      </c>
      <c r="B5978" s="223">
        <v>21</v>
      </c>
      <c r="C5978" s="223">
        <v>26</v>
      </c>
      <c r="D5978" s="223">
        <v>4</v>
      </c>
      <c r="E5978" s="223">
        <v>815103</v>
      </c>
    </row>
    <row r="5979" spans="1:5" ht="15">
      <c r="A5979" s="223" t="s">
        <v>485</v>
      </c>
      <c r="B5979" s="223">
        <v>21</v>
      </c>
      <c r="C5979" s="223">
        <v>26</v>
      </c>
      <c r="D5979" s="223">
        <v>5</v>
      </c>
      <c r="E5979" s="223">
        <v>29500</v>
      </c>
    </row>
    <row r="5980" spans="1:5" ht="15">
      <c r="A5980" s="223" t="s">
        <v>485</v>
      </c>
      <c r="B5980" s="223">
        <v>21</v>
      </c>
      <c r="C5980" s="223">
        <v>26</v>
      </c>
      <c r="D5980" s="223">
        <v>7</v>
      </c>
      <c r="E5980" s="223">
        <v>1118466</v>
      </c>
    </row>
    <row r="5981" spans="1:5" ht="15">
      <c r="A5981" s="223" t="s">
        <v>485</v>
      </c>
      <c r="B5981" s="223">
        <v>21</v>
      </c>
      <c r="C5981" s="223">
        <v>26</v>
      </c>
      <c r="D5981" s="223">
        <v>8</v>
      </c>
      <c r="E5981" s="223">
        <v>4000</v>
      </c>
    </row>
    <row r="5982" spans="1:5" ht="15">
      <c r="A5982" s="223" t="s">
        <v>485</v>
      </c>
      <c r="B5982" s="223">
        <v>21</v>
      </c>
      <c r="C5982" s="223">
        <v>27</v>
      </c>
      <c r="D5982" s="223">
        <v>0</v>
      </c>
      <c r="E5982" s="223">
        <v>8000</v>
      </c>
    </row>
    <row r="5983" spans="1:5" ht="15">
      <c r="A5983" s="223" t="s">
        <v>485</v>
      </c>
      <c r="B5983" s="223">
        <v>21</v>
      </c>
      <c r="C5983" s="223">
        <v>27</v>
      </c>
      <c r="D5983" s="223">
        <v>2</v>
      </c>
      <c r="E5983" s="223">
        <v>3588861</v>
      </c>
    </row>
    <row r="5984" spans="1:5" ht="15">
      <c r="A5984" s="223" t="s">
        <v>485</v>
      </c>
      <c r="B5984" s="223">
        <v>21</v>
      </c>
      <c r="C5984" s="223">
        <v>27</v>
      </c>
      <c r="D5984" s="223">
        <v>3</v>
      </c>
      <c r="E5984" s="223">
        <v>2363393</v>
      </c>
    </row>
    <row r="5985" spans="1:5" ht="15">
      <c r="A5985" s="223" t="s">
        <v>485</v>
      </c>
      <c r="B5985" s="223">
        <v>21</v>
      </c>
      <c r="C5985" s="223">
        <v>27</v>
      </c>
      <c r="D5985" s="223">
        <v>4</v>
      </c>
      <c r="E5985" s="223">
        <v>2871806</v>
      </c>
    </row>
    <row r="5986" spans="1:5" ht="15">
      <c r="A5986" s="223" t="s">
        <v>485</v>
      </c>
      <c r="B5986" s="223">
        <v>21</v>
      </c>
      <c r="C5986" s="223">
        <v>27</v>
      </c>
      <c r="D5986" s="223">
        <v>5</v>
      </c>
      <c r="E5986" s="223">
        <v>42000</v>
      </c>
    </row>
    <row r="5987" spans="1:5" ht="15">
      <c r="A5987" s="223" t="s">
        <v>485</v>
      </c>
      <c r="B5987" s="223">
        <v>21</v>
      </c>
      <c r="C5987" s="223">
        <v>27</v>
      </c>
      <c r="D5987" s="223">
        <v>7</v>
      </c>
      <c r="E5987" s="223">
        <v>171584</v>
      </c>
    </row>
    <row r="5988" spans="1:5" ht="15">
      <c r="A5988" s="223" t="s">
        <v>485</v>
      </c>
      <c r="B5988" s="223">
        <v>21</v>
      </c>
      <c r="C5988" s="223">
        <v>27</v>
      </c>
      <c r="D5988" s="223">
        <v>8</v>
      </c>
      <c r="E5988" s="223">
        <v>1000</v>
      </c>
    </row>
    <row r="5989" spans="1:5" ht="15">
      <c r="A5989" s="223" t="s">
        <v>485</v>
      </c>
      <c r="B5989" s="223">
        <v>21</v>
      </c>
      <c r="C5989" s="223">
        <v>31</v>
      </c>
      <c r="D5989" s="223">
        <v>2</v>
      </c>
      <c r="E5989" s="223">
        <v>62002</v>
      </c>
    </row>
    <row r="5990" spans="1:5" ht="15">
      <c r="A5990" s="223" t="s">
        <v>485</v>
      </c>
      <c r="B5990" s="223">
        <v>21</v>
      </c>
      <c r="C5990" s="223">
        <v>31</v>
      </c>
      <c r="D5990" s="223">
        <v>3</v>
      </c>
      <c r="E5990" s="223">
        <v>9999</v>
      </c>
    </row>
    <row r="5991" spans="1:5" ht="15">
      <c r="A5991" s="223" t="s">
        <v>485</v>
      </c>
      <c r="B5991" s="223">
        <v>21</v>
      </c>
      <c r="C5991" s="223">
        <v>31</v>
      </c>
      <c r="D5991" s="223">
        <v>4</v>
      </c>
      <c r="E5991" s="223">
        <v>16311</v>
      </c>
    </row>
    <row r="5992" spans="1:5" ht="15">
      <c r="A5992" s="223" t="s">
        <v>485</v>
      </c>
      <c r="B5992" s="223">
        <v>21</v>
      </c>
      <c r="C5992" s="223">
        <v>31</v>
      </c>
      <c r="D5992" s="223">
        <v>7</v>
      </c>
      <c r="E5992" s="223">
        <v>16800</v>
      </c>
    </row>
    <row r="5993" spans="1:5" ht="15">
      <c r="A5993" s="223" t="s">
        <v>485</v>
      </c>
      <c r="B5993" s="223">
        <v>21</v>
      </c>
      <c r="C5993" s="223">
        <v>31</v>
      </c>
      <c r="D5993" s="223">
        <v>8</v>
      </c>
      <c r="E5993" s="223">
        <v>3000</v>
      </c>
    </row>
    <row r="5994" spans="1:5" ht="15">
      <c r="A5994" s="223" t="s">
        <v>485</v>
      </c>
      <c r="B5994" s="223">
        <v>21</v>
      </c>
      <c r="C5994" s="223">
        <v>32</v>
      </c>
      <c r="D5994" s="223">
        <v>3</v>
      </c>
      <c r="E5994" s="223">
        <v>16467</v>
      </c>
    </row>
    <row r="5995" spans="1:5" ht="15">
      <c r="A5995" s="223" t="s">
        <v>485</v>
      </c>
      <c r="B5995" s="223">
        <v>21</v>
      </c>
      <c r="C5995" s="223">
        <v>32</v>
      </c>
      <c r="D5995" s="223">
        <v>4</v>
      </c>
      <c r="E5995" s="223">
        <v>8093</v>
      </c>
    </row>
    <row r="5996" spans="1:5" ht="15">
      <c r="A5996" s="223" t="s">
        <v>485</v>
      </c>
      <c r="B5996" s="223">
        <v>21</v>
      </c>
      <c r="C5996" s="223">
        <v>32</v>
      </c>
      <c r="D5996" s="223">
        <v>5</v>
      </c>
      <c r="E5996" s="223">
        <v>9500</v>
      </c>
    </row>
    <row r="5997" spans="1:5" ht="15">
      <c r="A5997" s="223" t="s">
        <v>485</v>
      </c>
      <c r="B5997" s="223">
        <v>21</v>
      </c>
      <c r="C5997" s="223">
        <v>33</v>
      </c>
      <c r="D5997" s="223">
        <v>5</v>
      </c>
      <c r="E5997" s="223">
        <v>25000</v>
      </c>
    </row>
    <row r="5998" spans="1:5" ht="15">
      <c r="A5998" s="223" t="s">
        <v>485</v>
      </c>
      <c r="B5998" s="223">
        <v>21</v>
      </c>
      <c r="C5998" s="223">
        <v>34</v>
      </c>
      <c r="D5998" s="223">
        <v>2</v>
      </c>
      <c r="E5998" s="223">
        <v>119149</v>
      </c>
    </row>
    <row r="5999" spans="1:5" ht="15">
      <c r="A5999" s="223" t="s">
        <v>485</v>
      </c>
      <c r="B5999" s="223">
        <v>21</v>
      </c>
      <c r="C5999" s="223">
        <v>34</v>
      </c>
      <c r="D5999" s="223">
        <v>4</v>
      </c>
      <c r="E5999" s="223">
        <v>27567</v>
      </c>
    </row>
    <row r="6000" spans="1:5" ht="15">
      <c r="A6000" s="223" t="s">
        <v>485</v>
      </c>
      <c r="B6000" s="223">
        <v>23</v>
      </c>
      <c r="C6000" s="223">
        <v>26</v>
      </c>
      <c r="D6000" s="223">
        <v>2</v>
      </c>
      <c r="E6000" s="223">
        <v>9860</v>
      </c>
    </row>
    <row r="6001" spans="1:5" ht="15">
      <c r="A6001" s="223" t="s">
        <v>485</v>
      </c>
      <c r="B6001" s="223">
        <v>23</v>
      </c>
      <c r="C6001" s="223">
        <v>26</v>
      </c>
      <c r="D6001" s="223">
        <v>4</v>
      </c>
      <c r="E6001" s="223">
        <v>2276</v>
      </c>
    </row>
    <row r="6002" spans="1:5" ht="15">
      <c r="A6002" s="223" t="s">
        <v>485</v>
      </c>
      <c r="B6002" s="223">
        <v>23</v>
      </c>
      <c r="C6002" s="223">
        <v>27</v>
      </c>
      <c r="D6002" s="223">
        <v>3</v>
      </c>
      <c r="E6002" s="223">
        <v>27733</v>
      </c>
    </row>
    <row r="6003" spans="1:5" ht="15">
      <c r="A6003" s="223" t="s">
        <v>485</v>
      </c>
      <c r="B6003" s="223">
        <v>23</v>
      </c>
      <c r="C6003" s="223">
        <v>27</v>
      </c>
      <c r="D6003" s="223">
        <v>4</v>
      </c>
      <c r="E6003" s="223">
        <v>11512</v>
      </c>
    </row>
    <row r="6004" spans="1:5" ht="15">
      <c r="A6004" s="223" t="s">
        <v>485</v>
      </c>
      <c r="B6004" s="223">
        <v>24</v>
      </c>
      <c r="C6004" s="223">
        <v>21</v>
      </c>
      <c r="D6004" s="223">
        <v>2</v>
      </c>
      <c r="E6004" s="223">
        <v>29292</v>
      </c>
    </row>
    <row r="6005" spans="1:5" ht="15">
      <c r="A6005" s="223" t="s">
        <v>485</v>
      </c>
      <c r="B6005" s="223">
        <v>24</v>
      </c>
      <c r="C6005" s="223">
        <v>21</v>
      </c>
      <c r="D6005" s="223">
        <v>4</v>
      </c>
      <c r="E6005" s="223">
        <v>10014</v>
      </c>
    </row>
    <row r="6006" spans="1:5" ht="15">
      <c r="A6006" s="223" t="s">
        <v>485</v>
      </c>
      <c r="B6006" s="223">
        <v>24</v>
      </c>
      <c r="C6006" s="223">
        <v>27</v>
      </c>
      <c r="D6006" s="223">
        <v>2</v>
      </c>
      <c r="E6006" s="223">
        <v>361589</v>
      </c>
    </row>
    <row r="6007" spans="1:5" ht="15">
      <c r="A6007" s="223" t="s">
        <v>485</v>
      </c>
      <c r="B6007" s="223">
        <v>24</v>
      </c>
      <c r="C6007" s="223">
        <v>27</v>
      </c>
      <c r="D6007" s="223">
        <v>3</v>
      </c>
      <c r="E6007" s="223">
        <v>569947</v>
      </c>
    </row>
    <row r="6008" spans="1:5" ht="15">
      <c r="A6008" s="223" t="s">
        <v>485</v>
      </c>
      <c r="B6008" s="223">
        <v>24</v>
      </c>
      <c r="C6008" s="223">
        <v>27</v>
      </c>
      <c r="D6008" s="223">
        <v>4</v>
      </c>
      <c r="E6008" s="223">
        <v>499687</v>
      </c>
    </row>
    <row r="6009" spans="1:5" ht="15">
      <c r="A6009" s="223" t="s">
        <v>485</v>
      </c>
      <c r="B6009" s="223">
        <v>24</v>
      </c>
      <c r="C6009" s="223">
        <v>31</v>
      </c>
      <c r="D6009" s="223">
        <v>2</v>
      </c>
      <c r="E6009" s="223">
        <v>11076</v>
      </c>
    </row>
    <row r="6010" spans="1:5" ht="15">
      <c r="A6010" s="223" t="s">
        <v>485</v>
      </c>
      <c r="B6010" s="223">
        <v>24</v>
      </c>
      <c r="C6010" s="223">
        <v>31</v>
      </c>
      <c r="D6010" s="223">
        <v>4</v>
      </c>
      <c r="E6010" s="223">
        <v>2588</v>
      </c>
    </row>
    <row r="6011" spans="1:5" ht="15">
      <c r="A6011" s="223" t="s">
        <v>485</v>
      </c>
      <c r="B6011" s="223">
        <v>24</v>
      </c>
      <c r="C6011" s="223">
        <v>31</v>
      </c>
      <c r="D6011" s="223">
        <v>7</v>
      </c>
      <c r="E6011" s="223">
        <v>9663</v>
      </c>
    </row>
    <row r="6012" spans="1:5" ht="15">
      <c r="A6012" s="223" t="s">
        <v>298</v>
      </c>
      <c r="B6012" s="223">
        <v>21</v>
      </c>
      <c r="C6012" s="223">
        <v>21</v>
      </c>
      <c r="D6012" s="223">
        <v>2</v>
      </c>
      <c r="E6012" s="223">
        <v>133082</v>
      </c>
    </row>
    <row r="6013" spans="1:5" ht="15">
      <c r="A6013" s="223" t="s">
        <v>298</v>
      </c>
      <c r="B6013" s="223">
        <v>21</v>
      </c>
      <c r="C6013" s="223">
        <v>21</v>
      </c>
      <c r="D6013" s="223">
        <v>3</v>
      </c>
      <c r="E6013" s="223">
        <v>39648</v>
      </c>
    </row>
    <row r="6014" spans="1:5" ht="15">
      <c r="A6014" s="223" t="s">
        <v>298</v>
      </c>
      <c r="B6014" s="223">
        <v>21</v>
      </c>
      <c r="C6014" s="223">
        <v>21</v>
      </c>
      <c r="D6014" s="223">
        <v>4</v>
      </c>
      <c r="E6014" s="223">
        <v>61717</v>
      </c>
    </row>
    <row r="6015" spans="1:5" ht="15">
      <c r="A6015" s="223" t="s">
        <v>298</v>
      </c>
      <c r="B6015" s="223">
        <v>21</v>
      </c>
      <c r="C6015" s="223">
        <v>21</v>
      </c>
      <c r="D6015" s="223">
        <v>8</v>
      </c>
      <c r="E6015" s="223">
        <v>3000</v>
      </c>
    </row>
    <row r="6016" spans="1:5" ht="15">
      <c r="A6016" s="223" t="s">
        <v>298</v>
      </c>
      <c r="B6016" s="223">
        <v>21</v>
      </c>
      <c r="C6016" s="223">
        <v>23</v>
      </c>
      <c r="D6016" s="223">
        <v>3</v>
      </c>
      <c r="E6016" s="223">
        <v>13404</v>
      </c>
    </row>
    <row r="6017" spans="1:5" ht="15">
      <c r="A6017" s="223" t="s">
        <v>298</v>
      </c>
      <c r="B6017" s="223">
        <v>21</v>
      </c>
      <c r="C6017" s="223">
        <v>23</v>
      </c>
      <c r="D6017" s="223">
        <v>4</v>
      </c>
      <c r="E6017" s="223">
        <v>8911</v>
      </c>
    </row>
    <row r="6018" spans="1:5" ht="15">
      <c r="A6018" s="223" t="s">
        <v>298</v>
      </c>
      <c r="B6018" s="223">
        <v>21</v>
      </c>
      <c r="C6018" s="223">
        <v>26</v>
      </c>
      <c r="D6018" s="223">
        <v>2</v>
      </c>
      <c r="E6018" s="223">
        <v>872901</v>
      </c>
    </row>
    <row r="6019" spans="1:5" ht="15">
      <c r="A6019" s="223" t="s">
        <v>298</v>
      </c>
      <c r="B6019" s="223">
        <v>21</v>
      </c>
      <c r="C6019" s="223">
        <v>26</v>
      </c>
      <c r="D6019" s="223">
        <v>3</v>
      </c>
      <c r="E6019" s="223">
        <v>234494</v>
      </c>
    </row>
    <row r="6020" spans="1:5" ht="15">
      <c r="A6020" s="223" t="s">
        <v>298</v>
      </c>
      <c r="B6020" s="223">
        <v>21</v>
      </c>
      <c r="C6020" s="223">
        <v>26</v>
      </c>
      <c r="D6020" s="223">
        <v>4</v>
      </c>
      <c r="E6020" s="223">
        <v>474107</v>
      </c>
    </row>
    <row r="6021" spans="1:5" ht="15">
      <c r="A6021" s="223" t="s">
        <v>298</v>
      </c>
      <c r="B6021" s="223">
        <v>21</v>
      </c>
      <c r="C6021" s="223">
        <v>27</v>
      </c>
      <c r="D6021" s="223">
        <v>2</v>
      </c>
      <c r="E6021" s="223">
        <v>1490902</v>
      </c>
    </row>
    <row r="6022" spans="1:5" ht="15">
      <c r="A6022" s="223" t="s">
        <v>298</v>
      </c>
      <c r="B6022" s="223">
        <v>21</v>
      </c>
      <c r="C6022" s="223">
        <v>27</v>
      </c>
      <c r="D6022" s="223">
        <v>3</v>
      </c>
      <c r="E6022" s="223">
        <v>1090418</v>
      </c>
    </row>
    <row r="6023" spans="1:5" ht="15">
      <c r="A6023" s="223" t="s">
        <v>298</v>
      </c>
      <c r="B6023" s="223">
        <v>21</v>
      </c>
      <c r="C6023" s="223">
        <v>27</v>
      </c>
      <c r="D6023" s="223">
        <v>4</v>
      </c>
      <c r="E6023" s="223">
        <v>1155763</v>
      </c>
    </row>
    <row r="6024" spans="1:5" ht="15">
      <c r="A6024" s="223" t="s">
        <v>298</v>
      </c>
      <c r="B6024" s="223">
        <v>21</v>
      </c>
      <c r="C6024" s="223">
        <v>27</v>
      </c>
      <c r="D6024" s="223">
        <v>5</v>
      </c>
      <c r="E6024" s="223">
        <v>95500</v>
      </c>
    </row>
    <row r="6025" spans="1:5" ht="15">
      <c r="A6025" s="223" t="s">
        <v>298</v>
      </c>
      <c r="B6025" s="223">
        <v>21</v>
      </c>
      <c r="C6025" s="223">
        <v>27</v>
      </c>
      <c r="D6025" s="223">
        <v>7</v>
      </c>
      <c r="E6025" s="223">
        <v>100000</v>
      </c>
    </row>
    <row r="6026" spans="1:5" ht="15">
      <c r="A6026" s="223" t="s">
        <v>298</v>
      </c>
      <c r="B6026" s="223">
        <v>21</v>
      </c>
      <c r="C6026" s="223">
        <v>27</v>
      </c>
      <c r="D6026" s="223">
        <v>8</v>
      </c>
      <c r="E6026" s="223">
        <v>2550</v>
      </c>
    </row>
    <row r="6027" spans="1:5" ht="15">
      <c r="A6027" s="223" t="s">
        <v>298</v>
      </c>
      <c r="B6027" s="223">
        <v>21</v>
      </c>
      <c r="C6027" s="223">
        <v>32</v>
      </c>
      <c r="D6027" s="223">
        <v>5</v>
      </c>
      <c r="E6027" s="223">
        <v>50000</v>
      </c>
    </row>
    <row r="6028" spans="1:5" ht="15">
      <c r="A6028" s="223" t="s">
        <v>298</v>
      </c>
      <c r="B6028" s="223">
        <v>23</v>
      </c>
      <c r="C6028" s="223">
        <v>27</v>
      </c>
      <c r="D6028" s="223">
        <v>2</v>
      </c>
      <c r="E6028" s="223">
        <v>9795</v>
      </c>
    </row>
    <row r="6029" spans="1:5" ht="15">
      <c r="A6029" s="223" t="s">
        <v>298</v>
      </c>
      <c r="B6029" s="223">
        <v>23</v>
      </c>
      <c r="C6029" s="223">
        <v>27</v>
      </c>
      <c r="D6029" s="223">
        <v>4</v>
      </c>
      <c r="E6029" s="223">
        <v>3466</v>
      </c>
    </row>
    <row r="6030" spans="1:5" ht="15">
      <c r="A6030" s="223" t="s">
        <v>298</v>
      </c>
      <c r="B6030" s="223">
        <v>23</v>
      </c>
      <c r="C6030" s="223">
        <v>27</v>
      </c>
      <c r="D6030" s="223">
        <v>5</v>
      </c>
      <c r="E6030" s="223">
        <v>96877</v>
      </c>
    </row>
    <row r="6031" spans="1:5" ht="15">
      <c r="A6031" s="223" t="s">
        <v>298</v>
      </c>
      <c r="B6031" s="223">
        <v>23</v>
      </c>
      <c r="C6031" s="223">
        <v>27</v>
      </c>
      <c r="D6031" s="223">
        <v>7</v>
      </c>
      <c r="E6031" s="223">
        <v>64584</v>
      </c>
    </row>
    <row r="6032" spans="1:5" ht="15">
      <c r="A6032" s="223" t="s">
        <v>298</v>
      </c>
      <c r="B6032" s="223">
        <v>24</v>
      </c>
      <c r="C6032" s="223">
        <v>27</v>
      </c>
      <c r="D6032" s="223">
        <v>2</v>
      </c>
      <c r="E6032" s="223">
        <v>429480</v>
      </c>
    </row>
    <row r="6033" spans="1:5" ht="15">
      <c r="A6033" s="223" t="s">
        <v>298</v>
      </c>
      <c r="B6033" s="223">
        <v>24</v>
      </c>
      <c r="C6033" s="223">
        <v>27</v>
      </c>
      <c r="D6033" s="223">
        <v>3</v>
      </c>
      <c r="E6033" s="223">
        <v>69310</v>
      </c>
    </row>
    <row r="6034" spans="1:5" ht="15">
      <c r="A6034" s="223" t="s">
        <v>298</v>
      </c>
      <c r="B6034" s="223">
        <v>24</v>
      </c>
      <c r="C6034" s="223">
        <v>27</v>
      </c>
      <c r="D6034" s="223">
        <v>4</v>
      </c>
      <c r="E6034" s="223">
        <v>209630</v>
      </c>
    </row>
    <row r="6035" spans="1:5" ht="15">
      <c r="A6035" s="223" t="s">
        <v>298</v>
      </c>
      <c r="B6035" s="223">
        <v>24</v>
      </c>
      <c r="C6035" s="223">
        <v>27</v>
      </c>
      <c r="D6035" s="223">
        <v>5</v>
      </c>
      <c r="E6035" s="223">
        <v>19631</v>
      </c>
    </row>
    <row r="6036" spans="1:5" ht="15">
      <c r="A6036" s="223" t="s">
        <v>299</v>
      </c>
      <c r="B6036" s="223">
        <v>21</v>
      </c>
      <c r="C6036" s="223">
        <v>21</v>
      </c>
      <c r="D6036" s="223">
        <v>2</v>
      </c>
      <c r="E6036" s="223">
        <v>223311</v>
      </c>
    </row>
    <row r="6037" spans="1:5" ht="15">
      <c r="A6037" s="223" t="s">
        <v>299</v>
      </c>
      <c r="B6037" s="223">
        <v>21</v>
      </c>
      <c r="C6037" s="223">
        <v>21</v>
      </c>
      <c r="D6037" s="223">
        <v>3</v>
      </c>
      <c r="E6037" s="223">
        <v>173181</v>
      </c>
    </row>
    <row r="6038" spans="1:5" ht="15">
      <c r="A6038" s="223" t="s">
        <v>299</v>
      </c>
      <c r="B6038" s="223">
        <v>21</v>
      </c>
      <c r="C6038" s="223">
        <v>21</v>
      </c>
      <c r="D6038" s="223">
        <v>4</v>
      </c>
      <c r="E6038" s="223">
        <v>114981</v>
      </c>
    </row>
    <row r="6039" spans="1:5" ht="15">
      <c r="A6039" s="223" t="s">
        <v>299</v>
      </c>
      <c r="B6039" s="223">
        <v>21</v>
      </c>
      <c r="C6039" s="223">
        <v>26</v>
      </c>
      <c r="D6039" s="223">
        <v>2</v>
      </c>
      <c r="E6039" s="223">
        <v>924614</v>
      </c>
    </row>
    <row r="6040" spans="1:5" ht="15">
      <c r="A6040" s="223" t="s">
        <v>299</v>
      </c>
      <c r="B6040" s="223">
        <v>21</v>
      </c>
      <c r="C6040" s="223">
        <v>26</v>
      </c>
      <c r="D6040" s="223">
        <v>3</v>
      </c>
      <c r="E6040" s="223">
        <v>423579</v>
      </c>
    </row>
    <row r="6041" spans="1:5" ht="15">
      <c r="A6041" s="223" t="s">
        <v>299</v>
      </c>
      <c r="B6041" s="223">
        <v>21</v>
      </c>
      <c r="C6041" s="223">
        <v>26</v>
      </c>
      <c r="D6041" s="223">
        <v>4</v>
      </c>
      <c r="E6041" s="223">
        <v>599376</v>
      </c>
    </row>
    <row r="6042" spans="1:5" ht="15">
      <c r="A6042" s="223" t="s">
        <v>299</v>
      </c>
      <c r="B6042" s="223">
        <v>21</v>
      </c>
      <c r="C6042" s="223">
        <v>27</v>
      </c>
      <c r="D6042" s="223">
        <v>2</v>
      </c>
      <c r="E6042" s="223">
        <v>1929562</v>
      </c>
    </row>
    <row r="6043" spans="1:5" ht="15">
      <c r="A6043" s="223" t="s">
        <v>299</v>
      </c>
      <c r="B6043" s="223">
        <v>21</v>
      </c>
      <c r="C6043" s="223">
        <v>27</v>
      </c>
      <c r="D6043" s="223">
        <v>3</v>
      </c>
      <c r="E6043" s="223">
        <v>1164370</v>
      </c>
    </row>
    <row r="6044" spans="1:5" ht="15">
      <c r="A6044" s="223" t="s">
        <v>299</v>
      </c>
      <c r="B6044" s="223">
        <v>21</v>
      </c>
      <c r="C6044" s="223">
        <v>27</v>
      </c>
      <c r="D6044" s="223">
        <v>4</v>
      </c>
      <c r="E6044" s="223">
        <v>1444426</v>
      </c>
    </row>
    <row r="6045" spans="1:5" ht="15">
      <c r="A6045" s="223" t="s">
        <v>299</v>
      </c>
      <c r="B6045" s="223">
        <v>21</v>
      </c>
      <c r="C6045" s="223">
        <v>27</v>
      </c>
      <c r="D6045" s="223">
        <v>5</v>
      </c>
      <c r="E6045" s="223">
        <v>85950</v>
      </c>
    </row>
    <row r="6046" spans="1:5" ht="15">
      <c r="A6046" s="223" t="s">
        <v>299</v>
      </c>
      <c r="B6046" s="223">
        <v>21</v>
      </c>
      <c r="C6046" s="223">
        <v>27</v>
      </c>
      <c r="D6046" s="223">
        <v>7</v>
      </c>
      <c r="E6046" s="223">
        <v>1278720</v>
      </c>
    </row>
    <row r="6047" spans="1:5" ht="15">
      <c r="A6047" s="223" t="s">
        <v>299</v>
      </c>
      <c r="B6047" s="223">
        <v>21</v>
      </c>
      <c r="C6047" s="223">
        <v>31</v>
      </c>
      <c r="D6047" s="223">
        <v>0</v>
      </c>
      <c r="E6047" s="223">
        <v>2000</v>
      </c>
    </row>
    <row r="6048" spans="1:5" ht="15">
      <c r="A6048" s="223" t="s">
        <v>299</v>
      </c>
      <c r="B6048" s="223">
        <v>21</v>
      </c>
      <c r="C6048" s="223">
        <v>31</v>
      </c>
      <c r="D6048" s="223">
        <v>2</v>
      </c>
      <c r="E6048" s="223">
        <v>175391</v>
      </c>
    </row>
    <row r="6049" spans="1:5" ht="15">
      <c r="A6049" s="223" t="s">
        <v>299</v>
      </c>
      <c r="B6049" s="223">
        <v>21</v>
      </c>
      <c r="C6049" s="223">
        <v>31</v>
      </c>
      <c r="D6049" s="223">
        <v>3</v>
      </c>
      <c r="E6049" s="223">
        <v>1788</v>
      </c>
    </row>
    <row r="6050" spans="1:5" ht="15">
      <c r="A6050" s="223" t="s">
        <v>299</v>
      </c>
      <c r="B6050" s="223">
        <v>21</v>
      </c>
      <c r="C6050" s="223">
        <v>31</v>
      </c>
      <c r="D6050" s="223">
        <v>4</v>
      </c>
      <c r="E6050" s="223">
        <v>40598</v>
      </c>
    </row>
    <row r="6051" spans="1:5" ht="15">
      <c r="A6051" s="223" t="s">
        <v>299</v>
      </c>
      <c r="B6051" s="223">
        <v>21</v>
      </c>
      <c r="C6051" s="223">
        <v>31</v>
      </c>
      <c r="D6051" s="223">
        <v>8</v>
      </c>
      <c r="E6051" s="223">
        <v>10000</v>
      </c>
    </row>
    <row r="6052" spans="1:5" ht="15">
      <c r="A6052" s="223" t="s">
        <v>299</v>
      </c>
      <c r="B6052" s="223">
        <v>24</v>
      </c>
      <c r="C6052" s="223">
        <v>26</v>
      </c>
      <c r="D6052" s="223">
        <v>2</v>
      </c>
      <c r="E6052" s="223">
        <v>171575</v>
      </c>
    </row>
    <row r="6053" spans="1:5" ht="15">
      <c r="A6053" s="223" t="s">
        <v>299</v>
      </c>
      <c r="B6053" s="223">
        <v>24</v>
      </c>
      <c r="C6053" s="223">
        <v>26</v>
      </c>
      <c r="D6053" s="223">
        <v>4</v>
      </c>
      <c r="E6053" s="223">
        <v>62031</v>
      </c>
    </row>
    <row r="6054" spans="1:5" ht="15">
      <c r="A6054" s="223" t="s">
        <v>299</v>
      </c>
      <c r="B6054" s="223">
        <v>24</v>
      </c>
      <c r="C6054" s="223">
        <v>27</v>
      </c>
      <c r="D6054" s="223">
        <v>2</v>
      </c>
      <c r="E6054" s="223">
        <v>598130</v>
      </c>
    </row>
    <row r="6055" spans="1:5" ht="15">
      <c r="A6055" s="223" t="s">
        <v>299</v>
      </c>
      <c r="B6055" s="223">
        <v>24</v>
      </c>
      <c r="C6055" s="223">
        <v>27</v>
      </c>
      <c r="D6055" s="223">
        <v>3</v>
      </c>
      <c r="E6055" s="223">
        <v>19467</v>
      </c>
    </row>
    <row r="6056" spans="1:5" ht="15">
      <c r="A6056" s="223" t="s">
        <v>299</v>
      </c>
      <c r="B6056" s="223">
        <v>24</v>
      </c>
      <c r="C6056" s="223">
        <v>27</v>
      </c>
      <c r="D6056" s="223">
        <v>4</v>
      </c>
      <c r="E6056" s="223">
        <v>225233</v>
      </c>
    </row>
    <row r="6057" spans="1:5" ht="15">
      <c r="A6057" s="223" t="s">
        <v>299</v>
      </c>
      <c r="B6057" s="223">
        <v>24</v>
      </c>
      <c r="C6057" s="223">
        <v>31</v>
      </c>
      <c r="D6057" s="223">
        <v>2</v>
      </c>
      <c r="E6057" s="223">
        <v>48482</v>
      </c>
    </row>
    <row r="6058" spans="1:5" ht="15">
      <c r="A6058" s="223" t="s">
        <v>299</v>
      </c>
      <c r="B6058" s="223">
        <v>24</v>
      </c>
      <c r="C6058" s="223">
        <v>31</v>
      </c>
      <c r="D6058" s="223">
        <v>4</v>
      </c>
      <c r="E6058" s="223">
        <v>10866</v>
      </c>
    </row>
    <row r="6059" spans="1:5" ht="15">
      <c r="A6059" s="223" t="s">
        <v>1311</v>
      </c>
      <c r="B6059" s="223">
        <v>21</v>
      </c>
      <c r="C6059" s="223">
        <v>26</v>
      </c>
      <c r="D6059" s="223">
        <v>5</v>
      </c>
      <c r="E6059" s="223">
        <v>8000</v>
      </c>
    </row>
    <row r="6060" spans="1:5" ht="15">
      <c r="A6060" s="223" t="s">
        <v>1311</v>
      </c>
      <c r="B6060" s="223">
        <v>21</v>
      </c>
      <c r="C6060" s="223">
        <v>26</v>
      </c>
      <c r="D6060" s="223">
        <v>7</v>
      </c>
      <c r="E6060" s="223">
        <v>10000</v>
      </c>
    </row>
    <row r="6061" spans="1:5" ht="15">
      <c r="A6061" s="223" t="s">
        <v>1311</v>
      </c>
      <c r="B6061" s="223">
        <v>21</v>
      </c>
      <c r="C6061" s="223">
        <v>27</v>
      </c>
      <c r="D6061" s="223">
        <v>2</v>
      </c>
      <c r="E6061" s="223">
        <v>63000</v>
      </c>
    </row>
    <row r="6062" spans="1:5" ht="15">
      <c r="A6062" s="223" t="s">
        <v>1311</v>
      </c>
      <c r="B6062" s="223">
        <v>21</v>
      </c>
      <c r="C6062" s="223">
        <v>27</v>
      </c>
      <c r="D6062" s="223">
        <v>4</v>
      </c>
      <c r="E6062" s="223">
        <v>26026</v>
      </c>
    </row>
    <row r="6063" spans="1:5" ht="15">
      <c r="A6063" s="223" t="s">
        <v>1311</v>
      </c>
      <c r="B6063" s="223">
        <v>24</v>
      </c>
      <c r="C6063" s="223">
        <v>27</v>
      </c>
      <c r="D6063" s="223">
        <v>2</v>
      </c>
      <c r="E6063" s="223">
        <v>7000</v>
      </c>
    </row>
    <row r="6064" spans="1:5" ht="15">
      <c r="A6064" s="223" t="s">
        <v>1311</v>
      </c>
      <c r="B6064" s="223">
        <v>24</v>
      </c>
      <c r="C6064" s="223">
        <v>27</v>
      </c>
      <c r="D6064" s="223">
        <v>4</v>
      </c>
      <c r="E6064" s="223">
        <v>2892</v>
      </c>
    </row>
    <row r="6065" spans="1:5" ht="15">
      <c r="A6065" s="223" t="s">
        <v>300</v>
      </c>
      <c r="B6065" s="223">
        <v>21</v>
      </c>
      <c r="C6065" s="223">
        <v>27</v>
      </c>
      <c r="D6065" s="223">
        <v>2</v>
      </c>
      <c r="E6065" s="223">
        <v>143688</v>
      </c>
    </row>
    <row r="6066" spans="1:5" ht="15">
      <c r="A6066" s="223" t="s">
        <v>300</v>
      </c>
      <c r="B6066" s="223">
        <v>21</v>
      </c>
      <c r="C6066" s="223">
        <v>27</v>
      </c>
      <c r="D6066" s="223">
        <v>3</v>
      </c>
      <c r="E6066" s="223">
        <v>153608</v>
      </c>
    </row>
    <row r="6067" spans="1:5" ht="15">
      <c r="A6067" s="223" t="s">
        <v>300</v>
      </c>
      <c r="B6067" s="223">
        <v>21</v>
      </c>
      <c r="C6067" s="223">
        <v>27</v>
      </c>
      <c r="D6067" s="223">
        <v>4</v>
      </c>
      <c r="E6067" s="223">
        <v>153692</v>
      </c>
    </row>
    <row r="6068" spans="1:5" ht="15">
      <c r="A6068" s="223" t="s">
        <v>300</v>
      </c>
      <c r="B6068" s="223">
        <v>21</v>
      </c>
      <c r="C6068" s="223">
        <v>27</v>
      </c>
      <c r="D6068" s="223">
        <v>5</v>
      </c>
      <c r="E6068" s="223">
        <v>1601</v>
      </c>
    </row>
    <row r="6069" spans="1:5" ht="15">
      <c r="A6069" s="223" t="s">
        <v>300</v>
      </c>
      <c r="B6069" s="223">
        <v>21</v>
      </c>
      <c r="C6069" s="223">
        <v>27</v>
      </c>
      <c r="D6069" s="223">
        <v>7</v>
      </c>
      <c r="E6069" s="223">
        <v>166700</v>
      </c>
    </row>
    <row r="6070" spans="1:5" ht="15">
      <c r="A6070" s="223" t="s">
        <v>300</v>
      </c>
      <c r="B6070" s="223">
        <v>21</v>
      </c>
      <c r="C6070" s="223">
        <v>31</v>
      </c>
      <c r="D6070" s="223">
        <v>7</v>
      </c>
      <c r="E6070" s="223">
        <v>250</v>
      </c>
    </row>
    <row r="6071" spans="1:5" ht="15">
      <c r="A6071" s="223" t="s">
        <v>300</v>
      </c>
      <c r="B6071" s="223">
        <v>21</v>
      </c>
      <c r="C6071" s="223">
        <v>31</v>
      </c>
      <c r="D6071" s="223">
        <v>8</v>
      </c>
      <c r="E6071" s="223">
        <v>300</v>
      </c>
    </row>
    <row r="6072" spans="1:5" ht="15">
      <c r="A6072" s="223" t="s">
        <v>300</v>
      </c>
      <c r="B6072" s="223">
        <v>24</v>
      </c>
      <c r="C6072" s="223">
        <v>26</v>
      </c>
      <c r="D6072" s="223">
        <v>7</v>
      </c>
      <c r="E6072" s="223">
        <v>147494</v>
      </c>
    </row>
    <row r="6073" spans="1:5" ht="15">
      <c r="A6073" s="223" t="s">
        <v>300</v>
      </c>
      <c r="B6073" s="223">
        <v>24</v>
      </c>
      <c r="C6073" s="223">
        <v>27</v>
      </c>
      <c r="D6073" s="223">
        <v>5</v>
      </c>
      <c r="E6073" s="223">
        <v>6489</v>
      </c>
    </row>
    <row r="6074" spans="1:5" ht="15">
      <c r="A6074" s="223" t="s">
        <v>302</v>
      </c>
      <c r="B6074" s="223">
        <v>21</v>
      </c>
      <c r="C6074" s="223">
        <v>21</v>
      </c>
      <c r="D6074" s="223">
        <v>0</v>
      </c>
      <c r="E6074" s="223">
        <v>5000</v>
      </c>
    </row>
    <row r="6075" spans="1:5" ht="15">
      <c r="A6075" s="223" t="s">
        <v>302</v>
      </c>
      <c r="B6075" s="223">
        <v>21</v>
      </c>
      <c r="C6075" s="223">
        <v>21</v>
      </c>
      <c r="D6075" s="223">
        <v>2</v>
      </c>
      <c r="E6075" s="223">
        <v>222660</v>
      </c>
    </row>
    <row r="6076" spans="1:5" ht="15">
      <c r="A6076" s="223" t="s">
        <v>302</v>
      </c>
      <c r="B6076" s="223">
        <v>21</v>
      </c>
      <c r="C6076" s="223">
        <v>21</v>
      </c>
      <c r="D6076" s="223">
        <v>3</v>
      </c>
      <c r="E6076" s="223">
        <v>72740</v>
      </c>
    </row>
    <row r="6077" spans="1:5" ht="15">
      <c r="A6077" s="223" t="s">
        <v>302</v>
      </c>
      <c r="B6077" s="223">
        <v>21</v>
      </c>
      <c r="C6077" s="223">
        <v>21</v>
      </c>
      <c r="D6077" s="223">
        <v>4</v>
      </c>
      <c r="E6077" s="223">
        <v>98632</v>
      </c>
    </row>
    <row r="6078" spans="1:5" ht="15">
      <c r="A6078" s="223" t="s">
        <v>302</v>
      </c>
      <c r="B6078" s="223">
        <v>21</v>
      </c>
      <c r="C6078" s="223">
        <v>21</v>
      </c>
      <c r="D6078" s="223">
        <v>5</v>
      </c>
      <c r="E6078" s="223">
        <v>2000</v>
      </c>
    </row>
    <row r="6079" spans="1:5" ht="15">
      <c r="A6079" s="223" t="s">
        <v>302</v>
      </c>
      <c r="B6079" s="223">
        <v>21</v>
      </c>
      <c r="C6079" s="223">
        <v>21</v>
      </c>
      <c r="D6079" s="223">
        <v>7</v>
      </c>
      <c r="E6079" s="223">
        <v>1000</v>
      </c>
    </row>
    <row r="6080" spans="1:5" ht="15">
      <c r="A6080" s="223" t="s">
        <v>302</v>
      </c>
      <c r="B6080" s="223">
        <v>21</v>
      </c>
      <c r="C6080" s="223">
        <v>21</v>
      </c>
      <c r="D6080" s="223">
        <v>8</v>
      </c>
      <c r="E6080" s="223">
        <v>500</v>
      </c>
    </row>
    <row r="6081" spans="1:5" ht="15">
      <c r="A6081" s="223" t="s">
        <v>302</v>
      </c>
      <c r="B6081" s="223">
        <v>21</v>
      </c>
      <c r="C6081" s="223">
        <v>24</v>
      </c>
      <c r="D6081" s="223">
        <v>2</v>
      </c>
      <c r="E6081" s="223">
        <v>48852</v>
      </c>
    </row>
    <row r="6082" spans="1:5" ht="15">
      <c r="A6082" s="223" t="s">
        <v>302</v>
      </c>
      <c r="B6082" s="223">
        <v>21</v>
      </c>
      <c r="C6082" s="223">
        <v>24</v>
      </c>
      <c r="D6082" s="223">
        <v>4</v>
      </c>
      <c r="E6082" s="223">
        <v>19178</v>
      </c>
    </row>
    <row r="6083" spans="1:5" ht="15">
      <c r="A6083" s="223" t="s">
        <v>302</v>
      </c>
      <c r="B6083" s="223">
        <v>21</v>
      </c>
      <c r="C6083" s="223">
        <v>25</v>
      </c>
      <c r="D6083" s="223">
        <v>3</v>
      </c>
      <c r="E6083" s="223">
        <v>181677</v>
      </c>
    </row>
    <row r="6084" spans="1:5" ht="15">
      <c r="A6084" s="223" t="s">
        <v>302</v>
      </c>
      <c r="B6084" s="223">
        <v>21</v>
      </c>
      <c r="C6084" s="223">
        <v>25</v>
      </c>
      <c r="D6084" s="223">
        <v>4</v>
      </c>
      <c r="E6084" s="223">
        <v>163004</v>
      </c>
    </row>
    <row r="6085" spans="1:5" ht="15">
      <c r="A6085" s="223" t="s">
        <v>302</v>
      </c>
      <c r="B6085" s="223">
        <v>21</v>
      </c>
      <c r="C6085" s="223">
        <v>26</v>
      </c>
      <c r="D6085" s="223">
        <v>2</v>
      </c>
      <c r="E6085" s="223">
        <v>1118693</v>
      </c>
    </row>
    <row r="6086" spans="1:5" ht="15">
      <c r="A6086" s="223" t="s">
        <v>302</v>
      </c>
      <c r="B6086" s="223">
        <v>21</v>
      </c>
      <c r="C6086" s="223">
        <v>26</v>
      </c>
      <c r="D6086" s="223">
        <v>4</v>
      </c>
      <c r="E6086" s="223">
        <v>430134</v>
      </c>
    </row>
    <row r="6087" spans="1:5" ht="15">
      <c r="A6087" s="223" t="s">
        <v>302</v>
      </c>
      <c r="B6087" s="223">
        <v>21</v>
      </c>
      <c r="C6087" s="223">
        <v>26</v>
      </c>
      <c r="D6087" s="223">
        <v>5</v>
      </c>
      <c r="E6087" s="223">
        <v>18000</v>
      </c>
    </row>
    <row r="6088" spans="1:5" ht="15">
      <c r="A6088" s="223" t="s">
        <v>302</v>
      </c>
      <c r="B6088" s="223">
        <v>21</v>
      </c>
      <c r="C6088" s="223">
        <v>26</v>
      </c>
      <c r="D6088" s="223">
        <v>7</v>
      </c>
      <c r="E6088" s="223">
        <v>257100</v>
      </c>
    </row>
    <row r="6089" spans="1:5" ht="15">
      <c r="A6089" s="223" t="s">
        <v>302</v>
      </c>
      <c r="B6089" s="223">
        <v>21</v>
      </c>
      <c r="C6089" s="223">
        <v>26</v>
      </c>
      <c r="D6089" s="223">
        <v>8</v>
      </c>
      <c r="E6089" s="223">
        <v>1500</v>
      </c>
    </row>
    <row r="6090" spans="1:5" ht="15">
      <c r="A6090" s="223" t="s">
        <v>302</v>
      </c>
      <c r="B6090" s="223">
        <v>21</v>
      </c>
      <c r="C6090" s="223">
        <v>27</v>
      </c>
      <c r="D6090" s="223">
        <v>0</v>
      </c>
      <c r="E6090" s="223">
        <v>1800</v>
      </c>
    </row>
    <row r="6091" spans="1:5" ht="15">
      <c r="A6091" s="223" t="s">
        <v>302</v>
      </c>
      <c r="B6091" s="223">
        <v>21</v>
      </c>
      <c r="C6091" s="223">
        <v>27</v>
      </c>
      <c r="D6091" s="223">
        <v>2</v>
      </c>
      <c r="E6091" s="223">
        <v>2175224</v>
      </c>
    </row>
    <row r="6092" spans="1:5" ht="15">
      <c r="A6092" s="223" t="s">
        <v>302</v>
      </c>
      <c r="B6092" s="223">
        <v>21</v>
      </c>
      <c r="C6092" s="223">
        <v>27</v>
      </c>
      <c r="D6092" s="223">
        <v>3</v>
      </c>
      <c r="E6092" s="223">
        <v>1439197</v>
      </c>
    </row>
    <row r="6093" spans="1:5" ht="15">
      <c r="A6093" s="223" t="s">
        <v>302</v>
      </c>
      <c r="B6093" s="223">
        <v>21</v>
      </c>
      <c r="C6093" s="223">
        <v>27</v>
      </c>
      <c r="D6093" s="223">
        <v>4</v>
      </c>
      <c r="E6093" s="223">
        <v>1614973</v>
      </c>
    </row>
    <row r="6094" spans="1:5" ht="15">
      <c r="A6094" s="223" t="s">
        <v>302</v>
      </c>
      <c r="B6094" s="223">
        <v>21</v>
      </c>
      <c r="C6094" s="223">
        <v>27</v>
      </c>
      <c r="D6094" s="223">
        <v>5</v>
      </c>
      <c r="E6094" s="223">
        <v>10550</v>
      </c>
    </row>
    <row r="6095" spans="1:5" ht="15">
      <c r="A6095" s="223" t="s">
        <v>302</v>
      </c>
      <c r="B6095" s="223">
        <v>21</v>
      </c>
      <c r="C6095" s="223">
        <v>27</v>
      </c>
      <c r="D6095" s="223">
        <v>7</v>
      </c>
      <c r="E6095" s="223">
        <v>26598</v>
      </c>
    </row>
    <row r="6096" spans="1:5" ht="15">
      <c r="A6096" s="223" t="s">
        <v>302</v>
      </c>
      <c r="B6096" s="223">
        <v>21</v>
      </c>
      <c r="C6096" s="223">
        <v>27</v>
      </c>
      <c r="D6096" s="223">
        <v>8</v>
      </c>
      <c r="E6096" s="223">
        <v>30</v>
      </c>
    </row>
    <row r="6097" spans="1:5" ht="15">
      <c r="A6097" s="223" t="s">
        <v>302</v>
      </c>
      <c r="B6097" s="223">
        <v>21</v>
      </c>
      <c r="C6097" s="223">
        <v>29</v>
      </c>
      <c r="D6097" s="223">
        <v>7</v>
      </c>
      <c r="E6097" s="223">
        <v>41500</v>
      </c>
    </row>
    <row r="6098" spans="1:5" ht="15">
      <c r="A6098" s="223" t="s">
        <v>302</v>
      </c>
      <c r="B6098" s="223">
        <v>21</v>
      </c>
      <c r="C6098" s="223">
        <v>31</v>
      </c>
      <c r="D6098" s="223">
        <v>2</v>
      </c>
      <c r="E6098" s="223">
        <v>127372</v>
      </c>
    </row>
    <row r="6099" spans="1:5" ht="15">
      <c r="A6099" s="223" t="s">
        <v>302</v>
      </c>
      <c r="B6099" s="223">
        <v>21</v>
      </c>
      <c r="C6099" s="223">
        <v>31</v>
      </c>
      <c r="D6099" s="223">
        <v>4</v>
      </c>
      <c r="E6099" s="223">
        <v>29736</v>
      </c>
    </row>
    <row r="6100" spans="1:5" ht="15">
      <c r="A6100" s="223" t="s">
        <v>302</v>
      </c>
      <c r="B6100" s="223">
        <v>21</v>
      </c>
      <c r="C6100" s="223">
        <v>31</v>
      </c>
      <c r="D6100" s="223">
        <v>5</v>
      </c>
      <c r="E6100" s="223">
        <v>1500</v>
      </c>
    </row>
    <row r="6101" spans="1:5" ht="15">
      <c r="A6101" s="223" t="s">
        <v>302</v>
      </c>
      <c r="B6101" s="223">
        <v>21</v>
      </c>
      <c r="C6101" s="223">
        <v>31</v>
      </c>
      <c r="D6101" s="223">
        <v>7</v>
      </c>
      <c r="E6101" s="223">
        <v>36300</v>
      </c>
    </row>
    <row r="6102" spans="1:5" ht="15">
      <c r="A6102" s="223" t="s">
        <v>302</v>
      </c>
      <c r="B6102" s="223">
        <v>21</v>
      </c>
      <c r="C6102" s="223">
        <v>31</v>
      </c>
      <c r="D6102" s="223">
        <v>8</v>
      </c>
      <c r="E6102" s="223">
        <v>1500</v>
      </c>
    </row>
    <row r="6103" spans="1:5" ht="15">
      <c r="A6103" s="223" t="s">
        <v>302</v>
      </c>
      <c r="B6103" s="223">
        <v>21</v>
      </c>
      <c r="C6103" s="223">
        <v>33</v>
      </c>
      <c r="D6103" s="223">
        <v>5</v>
      </c>
      <c r="E6103" s="223">
        <v>26700</v>
      </c>
    </row>
    <row r="6104" spans="1:5" ht="15">
      <c r="A6104" s="223" t="s">
        <v>302</v>
      </c>
      <c r="B6104" s="223">
        <v>21</v>
      </c>
      <c r="C6104" s="223">
        <v>34</v>
      </c>
      <c r="D6104" s="223">
        <v>2</v>
      </c>
      <c r="E6104" s="223">
        <v>78457</v>
      </c>
    </row>
    <row r="6105" spans="1:5" ht="15">
      <c r="A6105" s="223" t="s">
        <v>302</v>
      </c>
      <c r="B6105" s="223">
        <v>21</v>
      </c>
      <c r="C6105" s="223">
        <v>34</v>
      </c>
      <c r="D6105" s="223">
        <v>4</v>
      </c>
      <c r="E6105" s="223">
        <v>30619</v>
      </c>
    </row>
    <row r="6106" spans="1:5" ht="15">
      <c r="A6106" s="223" t="s">
        <v>302</v>
      </c>
      <c r="B6106" s="223">
        <v>24</v>
      </c>
      <c r="C6106" s="223">
        <v>26</v>
      </c>
      <c r="D6106" s="223">
        <v>2</v>
      </c>
      <c r="E6106" s="223">
        <v>84351</v>
      </c>
    </row>
    <row r="6107" spans="1:5" ht="15">
      <c r="A6107" s="223" t="s">
        <v>302</v>
      </c>
      <c r="B6107" s="223">
        <v>24</v>
      </c>
      <c r="C6107" s="223">
        <v>26</v>
      </c>
      <c r="D6107" s="223">
        <v>4</v>
      </c>
      <c r="E6107" s="223">
        <v>31867</v>
      </c>
    </row>
    <row r="6108" spans="1:5" ht="15">
      <c r="A6108" s="223" t="s">
        <v>302</v>
      </c>
      <c r="B6108" s="223">
        <v>24</v>
      </c>
      <c r="C6108" s="223">
        <v>27</v>
      </c>
      <c r="D6108" s="223">
        <v>2</v>
      </c>
      <c r="E6108" s="223">
        <v>109019</v>
      </c>
    </row>
    <row r="6109" spans="1:5" ht="15">
      <c r="A6109" s="223" t="s">
        <v>302</v>
      </c>
      <c r="B6109" s="223">
        <v>24</v>
      </c>
      <c r="C6109" s="223">
        <v>27</v>
      </c>
      <c r="D6109" s="223">
        <v>3</v>
      </c>
      <c r="E6109" s="223">
        <v>293026</v>
      </c>
    </row>
    <row r="6110" spans="1:5" ht="15">
      <c r="A6110" s="223" t="s">
        <v>302</v>
      </c>
      <c r="B6110" s="223">
        <v>24</v>
      </c>
      <c r="C6110" s="223">
        <v>27</v>
      </c>
      <c r="D6110" s="223">
        <v>4</v>
      </c>
      <c r="E6110" s="223">
        <v>217536</v>
      </c>
    </row>
    <row r="6111" spans="1:5" ht="15">
      <c r="A6111" s="223" t="s">
        <v>302</v>
      </c>
      <c r="B6111" s="223">
        <v>24</v>
      </c>
      <c r="C6111" s="223">
        <v>27</v>
      </c>
      <c r="D6111" s="223">
        <v>5</v>
      </c>
      <c r="E6111" s="223">
        <v>56025</v>
      </c>
    </row>
    <row r="6112" spans="1:5" ht="15">
      <c r="A6112" s="223" t="s">
        <v>302</v>
      </c>
      <c r="B6112" s="223">
        <v>24</v>
      </c>
      <c r="C6112" s="223">
        <v>31</v>
      </c>
      <c r="D6112" s="223">
        <v>2</v>
      </c>
      <c r="E6112" s="223">
        <v>4839</v>
      </c>
    </row>
    <row r="6113" spans="1:5" ht="15">
      <c r="A6113" s="223" t="s">
        <v>302</v>
      </c>
      <c r="B6113" s="223">
        <v>24</v>
      </c>
      <c r="C6113" s="223">
        <v>31</v>
      </c>
      <c r="D6113" s="223">
        <v>4</v>
      </c>
      <c r="E6113" s="223">
        <v>1128</v>
      </c>
    </row>
    <row r="6114" spans="1:5" ht="15">
      <c r="A6114" s="223" t="s">
        <v>302</v>
      </c>
      <c r="B6114" s="223">
        <v>26</v>
      </c>
      <c r="C6114" s="223">
        <v>26</v>
      </c>
      <c r="D6114" s="223">
        <v>2</v>
      </c>
      <c r="E6114" s="223">
        <v>16681</v>
      </c>
    </row>
    <row r="6115" spans="1:5" ht="15">
      <c r="A6115" s="223" t="s">
        <v>302</v>
      </c>
      <c r="B6115" s="223">
        <v>26</v>
      </c>
      <c r="C6115" s="223">
        <v>26</v>
      </c>
      <c r="D6115" s="223">
        <v>4</v>
      </c>
      <c r="E6115" s="223">
        <v>6354</v>
      </c>
    </row>
    <row r="6116" spans="1:5" ht="15">
      <c r="A6116" s="223" t="s">
        <v>302</v>
      </c>
      <c r="B6116" s="223">
        <v>26</v>
      </c>
      <c r="C6116" s="223">
        <v>27</v>
      </c>
      <c r="D6116" s="223">
        <v>2</v>
      </c>
      <c r="E6116" s="223">
        <v>65450</v>
      </c>
    </row>
    <row r="6117" spans="1:5" ht="15">
      <c r="A6117" s="223" t="s">
        <v>302</v>
      </c>
      <c r="B6117" s="223">
        <v>26</v>
      </c>
      <c r="C6117" s="223">
        <v>27</v>
      </c>
      <c r="D6117" s="223">
        <v>3</v>
      </c>
      <c r="E6117" s="223">
        <v>35389</v>
      </c>
    </row>
    <row r="6118" spans="1:5" ht="15">
      <c r="A6118" s="223" t="s">
        <v>302</v>
      </c>
      <c r="B6118" s="223">
        <v>26</v>
      </c>
      <c r="C6118" s="223">
        <v>27</v>
      </c>
      <c r="D6118" s="223">
        <v>4</v>
      </c>
      <c r="E6118" s="223">
        <v>47417</v>
      </c>
    </row>
    <row r="6119" spans="1:5" ht="15">
      <c r="A6119" s="223" t="s">
        <v>302</v>
      </c>
      <c r="B6119" s="223">
        <v>26</v>
      </c>
      <c r="C6119" s="223">
        <v>31</v>
      </c>
      <c r="D6119" s="223">
        <v>2</v>
      </c>
      <c r="E6119" s="223">
        <v>2644</v>
      </c>
    </row>
    <row r="6120" spans="1:5" ht="15">
      <c r="A6120" s="223" t="s">
        <v>302</v>
      </c>
      <c r="B6120" s="223">
        <v>26</v>
      </c>
      <c r="C6120" s="223">
        <v>31</v>
      </c>
      <c r="D6120" s="223">
        <v>4</v>
      </c>
      <c r="E6120" s="223">
        <v>620</v>
      </c>
    </row>
    <row r="6121" spans="1:5" ht="15">
      <c r="A6121" s="223" t="s">
        <v>304</v>
      </c>
      <c r="B6121" s="223">
        <v>21</v>
      </c>
      <c r="C6121" s="223">
        <v>29</v>
      </c>
      <c r="D6121" s="223">
        <v>7</v>
      </c>
      <c r="E6121" s="223">
        <v>1646615</v>
      </c>
    </row>
    <row r="6122" spans="1:5" ht="15">
      <c r="A6122" s="223" t="s">
        <v>1161</v>
      </c>
      <c r="B6122" s="223">
        <v>21</v>
      </c>
      <c r="C6122" s="223">
        <v>26</v>
      </c>
      <c r="D6122" s="223">
        <v>7</v>
      </c>
      <c r="E6122" s="223">
        <v>100000</v>
      </c>
    </row>
    <row r="6123" spans="1:5" ht="15">
      <c r="A6123" s="223" t="s">
        <v>1161</v>
      </c>
      <c r="B6123" s="223">
        <v>21</v>
      </c>
      <c r="C6123" s="223">
        <v>27</v>
      </c>
      <c r="D6123" s="223">
        <v>2</v>
      </c>
      <c r="E6123" s="223">
        <v>133833</v>
      </c>
    </row>
    <row r="6124" spans="1:5" ht="15">
      <c r="A6124" s="223" t="s">
        <v>1161</v>
      </c>
      <c r="B6124" s="223">
        <v>21</v>
      </c>
      <c r="C6124" s="223">
        <v>27</v>
      </c>
      <c r="D6124" s="223">
        <v>4</v>
      </c>
      <c r="E6124" s="223">
        <v>52504</v>
      </c>
    </row>
    <row r="6125" spans="1:5" ht="15">
      <c r="A6125" s="223" t="s">
        <v>1161</v>
      </c>
      <c r="B6125" s="223">
        <v>24</v>
      </c>
      <c r="C6125" s="223">
        <v>27</v>
      </c>
      <c r="D6125" s="223">
        <v>2</v>
      </c>
      <c r="E6125" s="223">
        <v>23618</v>
      </c>
    </row>
    <row r="6126" spans="1:5" ht="15">
      <c r="A6126" s="223" t="s">
        <v>1161</v>
      </c>
      <c r="B6126" s="223">
        <v>24</v>
      </c>
      <c r="C6126" s="223">
        <v>27</v>
      </c>
      <c r="D6126" s="223">
        <v>4</v>
      </c>
      <c r="E6126" s="223">
        <v>9265</v>
      </c>
    </row>
    <row r="6127" spans="1:5" ht="15">
      <c r="A6127" s="223" t="s">
        <v>306</v>
      </c>
      <c r="B6127" s="223">
        <v>21</v>
      </c>
      <c r="C6127" s="223">
        <v>27</v>
      </c>
      <c r="D6127" s="223">
        <v>2</v>
      </c>
      <c r="E6127" s="223">
        <v>162805</v>
      </c>
    </row>
    <row r="6128" spans="1:5" ht="15">
      <c r="A6128" s="223" t="s">
        <v>306</v>
      </c>
      <c r="B6128" s="223">
        <v>21</v>
      </c>
      <c r="C6128" s="223">
        <v>27</v>
      </c>
      <c r="D6128" s="223">
        <v>3</v>
      </c>
      <c r="E6128" s="223">
        <v>157652</v>
      </c>
    </row>
    <row r="6129" spans="1:5" ht="15">
      <c r="A6129" s="223" t="s">
        <v>306</v>
      </c>
      <c r="B6129" s="223">
        <v>21</v>
      </c>
      <c r="C6129" s="223">
        <v>27</v>
      </c>
      <c r="D6129" s="223">
        <v>4</v>
      </c>
      <c r="E6129" s="223">
        <v>158006</v>
      </c>
    </row>
    <row r="6130" spans="1:5" ht="15">
      <c r="A6130" s="223" t="s">
        <v>306</v>
      </c>
      <c r="B6130" s="223">
        <v>21</v>
      </c>
      <c r="C6130" s="223">
        <v>27</v>
      </c>
      <c r="D6130" s="223">
        <v>5</v>
      </c>
      <c r="E6130" s="223">
        <v>3800</v>
      </c>
    </row>
    <row r="6131" spans="1:5" ht="15">
      <c r="A6131" s="223" t="s">
        <v>306</v>
      </c>
      <c r="B6131" s="223">
        <v>24</v>
      </c>
      <c r="C6131" s="223">
        <v>26</v>
      </c>
      <c r="D6131" s="223">
        <v>7</v>
      </c>
      <c r="E6131" s="223">
        <v>50000</v>
      </c>
    </row>
    <row r="6132" spans="1:5" ht="15">
      <c r="A6132" s="223" t="s">
        <v>308</v>
      </c>
      <c r="B6132" s="223">
        <v>21</v>
      </c>
      <c r="C6132" s="223">
        <v>21</v>
      </c>
      <c r="D6132" s="223">
        <v>2</v>
      </c>
      <c r="E6132" s="223">
        <v>19829</v>
      </c>
    </row>
    <row r="6133" spans="1:5" ht="15">
      <c r="A6133" s="223" t="s">
        <v>308</v>
      </c>
      <c r="B6133" s="223">
        <v>21</v>
      </c>
      <c r="C6133" s="223">
        <v>21</v>
      </c>
      <c r="D6133" s="223">
        <v>4</v>
      </c>
      <c r="E6133" s="223">
        <v>7074</v>
      </c>
    </row>
    <row r="6134" spans="1:5" ht="15">
      <c r="A6134" s="223" t="s">
        <v>308</v>
      </c>
      <c r="B6134" s="223">
        <v>21</v>
      </c>
      <c r="C6134" s="223">
        <v>27</v>
      </c>
      <c r="D6134" s="223">
        <v>2</v>
      </c>
      <c r="E6134" s="223">
        <v>270297</v>
      </c>
    </row>
    <row r="6135" spans="1:5" ht="15">
      <c r="A6135" s="223" t="s">
        <v>308</v>
      </c>
      <c r="B6135" s="223">
        <v>21</v>
      </c>
      <c r="C6135" s="223">
        <v>27</v>
      </c>
      <c r="D6135" s="223">
        <v>3</v>
      </c>
      <c r="E6135" s="223">
        <v>148788</v>
      </c>
    </row>
    <row r="6136" spans="1:5" ht="15">
      <c r="A6136" s="223" t="s">
        <v>308</v>
      </c>
      <c r="B6136" s="223">
        <v>21</v>
      </c>
      <c r="C6136" s="223">
        <v>27</v>
      </c>
      <c r="D6136" s="223">
        <v>4</v>
      </c>
      <c r="E6136" s="223">
        <v>206943</v>
      </c>
    </row>
    <row r="6137" spans="1:5" ht="15">
      <c r="A6137" s="223" t="s">
        <v>308</v>
      </c>
      <c r="B6137" s="223">
        <v>21</v>
      </c>
      <c r="C6137" s="223">
        <v>27</v>
      </c>
      <c r="D6137" s="223">
        <v>5</v>
      </c>
      <c r="E6137" s="223">
        <v>1000</v>
      </c>
    </row>
    <row r="6138" spans="1:5" ht="15">
      <c r="A6138" s="223" t="s">
        <v>308</v>
      </c>
      <c r="B6138" s="223">
        <v>21</v>
      </c>
      <c r="C6138" s="223">
        <v>27</v>
      </c>
      <c r="D6138" s="223">
        <v>7</v>
      </c>
      <c r="E6138" s="223">
        <v>30000</v>
      </c>
    </row>
    <row r="6139" spans="1:5" ht="15">
      <c r="A6139" s="223" t="s">
        <v>308</v>
      </c>
      <c r="B6139" s="223">
        <v>24</v>
      </c>
      <c r="C6139" s="223">
        <v>27</v>
      </c>
      <c r="D6139" s="223">
        <v>2</v>
      </c>
      <c r="E6139" s="223">
        <v>1806</v>
      </c>
    </row>
    <row r="6140" spans="1:5" ht="15">
      <c r="A6140" s="223" t="s">
        <v>308</v>
      </c>
      <c r="B6140" s="223">
        <v>24</v>
      </c>
      <c r="C6140" s="223">
        <v>27</v>
      </c>
      <c r="D6140" s="223">
        <v>3</v>
      </c>
      <c r="E6140" s="223">
        <v>7836</v>
      </c>
    </row>
    <row r="6141" spans="1:5" ht="15">
      <c r="A6141" s="223" t="s">
        <v>308</v>
      </c>
      <c r="B6141" s="223">
        <v>24</v>
      </c>
      <c r="C6141" s="223">
        <v>27</v>
      </c>
      <c r="D6141" s="223">
        <v>4</v>
      </c>
      <c r="E6141" s="223">
        <v>15657</v>
      </c>
    </row>
    <row r="6142" spans="1:5" ht="15">
      <c r="A6142" s="223" t="s">
        <v>308</v>
      </c>
      <c r="B6142" s="223">
        <v>24</v>
      </c>
      <c r="C6142" s="223">
        <v>27</v>
      </c>
      <c r="D6142" s="223">
        <v>7</v>
      </c>
      <c r="E6142" s="223">
        <v>55072</v>
      </c>
    </row>
    <row r="6143" spans="1:5" ht="15">
      <c r="A6143" s="223" t="s">
        <v>310</v>
      </c>
      <c r="B6143" s="223">
        <v>21</v>
      </c>
      <c r="C6143" s="223">
        <v>21</v>
      </c>
      <c r="D6143" s="223">
        <v>2</v>
      </c>
      <c r="E6143" s="223">
        <v>23534</v>
      </c>
    </row>
    <row r="6144" spans="1:5" ht="15">
      <c r="A6144" s="223" t="s">
        <v>310</v>
      </c>
      <c r="B6144" s="223">
        <v>21</v>
      </c>
      <c r="C6144" s="223">
        <v>21</v>
      </c>
      <c r="D6144" s="223">
        <v>4</v>
      </c>
      <c r="E6144" s="223">
        <v>19876</v>
      </c>
    </row>
    <row r="6145" spans="1:5" ht="15">
      <c r="A6145" s="223" t="s">
        <v>310</v>
      </c>
      <c r="B6145" s="223">
        <v>21</v>
      </c>
      <c r="C6145" s="223">
        <v>26</v>
      </c>
      <c r="D6145" s="223">
        <v>5</v>
      </c>
      <c r="E6145" s="223">
        <v>50000</v>
      </c>
    </row>
    <row r="6146" spans="1:5" ht="15">
      <c r="A6146" s="223" t="s">
        <v>310</v>
      </c>
      <c r="B6146" s="223">
        <v>21</v>
      </c>
      <c r="C6146" s="223">
        <v>27</v>
      </c>
      <c r="D6146" s="223">
        <v>2</v>
      </c>
      <c r="E6146" s="223">
        <v>79316</v>
      </c>
    </row>
    <row r="6147" spans="1:5" ht="15">
      <c r="A6147" s="223" t="s">
        <v>310</v>
      </c>
      <c r="B6147" s="223">
        <v>21</v>
      </c>
      <c r="C6147" s="223">
        <v>27</v>
      </c>
      <c r="D6147" s="223">
        <v>3</v>
      </c>
      <c r="E6147" s="223">
        <v>55534</v>
      </c>
    </row>
    <row r="6148" spans="1:5" ht="15">
      <c r="A6148" s="223" t="s">
        <v>310</v>
      </c>
      <c r="B6148" s="223">
        <v>21</v>
      </c>
      <c r="C6148" s="223">
        <v>27</v>
      </c>
      <c r="D6148" s="223">
        <v>4</v>
      </c>
      <c r="E6148" s="223">
        <v>64162</v>
      </c>
    </row>
    <row r="6149" spans="1:5" ht="15">
      <c r="A6149" s="223" t="s">
        <v>310</v>
      </c>
      <c r="B6149" s="223">
        <v>21</v>
      </c>
      <c r="C6149" s="223">
        <v>27</v>
      </c>
      <c r="D6149" s="223">
        <v>5</v>
      </c>
      <c r="E6149" s="223">
        <v>40000</v>
      </c>
    </row>
    <row r="6150" spans="1:5" ht="15">
      <c r="A6150" s="223" t="s">
        <v>310</v>
      </c>
      <c r="B6150" s="223">
        <v>21</v>
      </c>
      <c r="C6150" s="223">
        <v>27</v>
      </c>
      <c r="D6150" s="223">
        <v>7</v>
      </c>
      <c r="E6150" s="223">
        <v>5000</v>
      </c>
    </row>
    <row r="6151" spans="1:5" ht="15">
      <c r="A6151" s="223" t="s">
        <v>310</v>
      </c>
      <c r="B6151" s="223">
        <v>21</v>
      </c>
      <c r="C6151" s="223">
        <v>33</v>
      </c>
      <c r="D6151" s="223">
        <v>5</v>
      </c>
      <c r="E6151" s="223">
        <v>2000</v>
      </c>
    </row>
    <row r="6152" spans="1:5" ht="15">
      <c r="A6152" s="223" t="s">
        <v>310</v>
      </c>
      <c r="B6152" s="223">
        <v>21</v>
      </c>
      <c r="C6152" s="223">
        <v>34</v>
      </c>
      <c r="D6152" s="223">
        <v>2</v>
      </c>
      <c r="E6152" s="223">
        <v>2204</v>
      </c>
    </row>
    <row r="6153" spans="1:5" ht="15">
      <c r="A6153" s="223" t="s">
        <v>310</v>
      </c>
      <c r="B6153" s="223">
        <v>21</v>
      </c>
      <c r="C6153" s="223">
        <v>34</v>
      </c>
      <c r="D6153" s="223">
        <v>4</v>
      </c>
      <c r="E6153" s="223">
        <v>188</v>
      </c>
    </row>
    <row r="6154" spans="1:5" ht="15">
      <c r="A6154" s="223" t="s">
        <v>310</v>
      </c>
      <c r="B6154" s="223">
        <v>21</v>
      </c>
      <c r="C6154" s="223">
        <v>34</v>
      </c>
      <c r="D6154" s="223">
        <v>7</v>
      </c>
      <c r="E6154" s="223">
        <v>500</v>
      </c>
    </row>
    <row r="6155" spans="1:5" ht="15">
      <c r="A6155" s="223" t="s">
        <v>310</v>
      </c>
      <c r="B6155" s="223">
        <v>24</v>
      </c>
      <c r="C6155" s="223">
        <v>26</v>
      </c>
      <c r="D6155" s="223">
        <v>5</v>
      </c>
      <c r="E6155" s="223">
        <v>2750</v>
      </c>
    </row>
    <row r="6156" spans="1:5" ht="15">
      <c r="A6156" s="223" t="s">
        <v>310</v>
      </c>
      <c r="B6156" s="223">
        <v>24</v>
      </c>
      <c r="C6156" s="223">
        <v>26</v>
      </c>
      <c r="D6156" s="223">
        <v>7</v>
      </c>
      <c r="E6156" s="223">
        <v>37100</v>
      </c>
    </row>
    <row r="6157" spans="1:5" ht="15">
      <c r="A6157" s="223" t="s">
        <v>310</v>
      </c>
      <c r="B6157" s="223">
        <v>24</v>
      </c>
      <c r="C6157" s="223">
        <v>26</v>
      </c>
      <c r="D6157" s="223">
        <v>8</v>
      </c>
      <c r="E6157" s="223">
        <v>2000</v>
      </c>
    </row>
    <row r="6158" spans="1:5" ht="15">
      <c r="A6158" s="223" t="s">
        <v>310</v>
      </c>
      <c r="B6158" s="223">
        <v>24</v>
      </c>
      <c r="C6158" s="223">
        <v>27</v>
      </c>
      <c r="D6158" s="223">
        <v>7</v>
      </c>
      <c r="E6158" s="223">
        <v>1200</v>
      </c>
    </row>
    <row r="6159" spans="1:5" ht="15">
      <c r="A6159" s="223" t="s">
        <v>312</v>
      </c>
      <c r="B6159" s="223">
        <v>21</v>
      </c>
      <c r="C6159" s="223">
        <v>21</v>
      </c>
      <c r="D6159" s="223">
        <v>2</v>
      </c>
      <c r="E6159" s="223">
        <v>55388</v>
      </c>
    </row>
    <row r="6160" spans="1:5" ht="15">
      <c r="A6160" s="223" t="s">
        <v>312</v>
      </c>
      <c r="B6160" s="223">
        <v>21</v>
      </c>
      <c r="C6160" s="223">
        <v>21</v>
      </c>
      <c r="D6160" s="223">
        <v>4</v>
      </c>
      <c r="E6160" s="223">
        <v>18699</v>
      </c>
    </row>
    <row r="6161" spans="1:5" ht="15">
      <c r="A6161" s="223" t="s">
        <v>312</v>
      </c>
      <c r="B6161" s="223">
        <v>21</v>
      </c>
      <c r="C6161" s="223">
        <v>25</v>
      </c>
      <c r="D6161" s="223">
        <v>3</v>
      </c>
      <c r="E6161" s="223">
        <v>12300</v>
      </c>
    </row>
    <row r="6162" spans="1:5" ht="15">
      <c r="A6162" s="223" t="s">
        <v>312</v>
      </c>
      <c r="B6162" s="223">
        <v>21</v>
      </c>
      <c r="C6162" s="223">
        <v>25</v>
      </c>
      <c r="D6162" s="223">
        <v>4</v>
      </c>
      <c r="E6162" s="223">
        <v>15327</v>
      </c>
    </row>
    <row r="6163" spans="1:5" ht="15">
      <c r="A6163" s="223" t="s">
        <v>312</v>
      </c>
      <c r="B6163" s="223">
        <v>21</v>
      </c>
      <c r="C6163" s="223">
        <v>27</v>
      </c>
      <c r="D6163" s="223">
        <v>2</v>
      </c>
      <c r="E6163" s="223">
        <v>322303</v>
      </c>
    </row>
    <row r="6164" spans="1:5" ht="15">
      <c r="A6164" s="223" t="s">
        <v>312</v>
      </c>
      <c r="B6164" s="223">
        <v>21</v>
      </c>
      <c r="C6164" s="223">
        <v>27</v>
      </c>
      <c r="D6164" s="223">
        <v>3</v>
      </c>
      <c r="E6164" s="223">
        <v>330055</v>
      </c>
    </row>
    <row r="6165" spans="1:5" ht="15">
      <c r="A6165" s="223" t="s">
        <v>312</v>
      </c>
      <c r="B6165" s="223">
        <v>21</v>
      </c>
      <c r="C6165" s="223">
        <v>27</v>
      </c>
      <c r="D6165" s="223">
        <v>4</v>
      </c>
      <c r="E6165" s="223">
        <v>368483</v>
      </c>
    </row>
    <row r="6166" spans="1:5" ht="15">
      <c r="A6166" s="223" t="s">
        <v>312</v>
      </c>
      <c r="B6166" s="223">
        <v>21</v>
      </c>
      <c r="C6166" s="223">
        <v>27</v>
      </c>
      <c r="D6166" s="223">
        <v>5</v>
      </c>
      <c r="E6166" s="223">
        <v>3200</v>
      </c>
    </row>
    <row r="6167" spans="1:5" ht="15">
      <c r="A6167" s="223" t="s">
        <v>312</v>
      </c>
      <c r="B6167" s="223">
        <v>21</v>
      </c>
      <c r="C6167" s="223">
        <v>27</v>
      </c>
      <c r="D6167" s="223">
        <v>7</v>
      </c>
      <c r="E6167" s="223">
        <v>160000</v>
      </c>
    </row>
    <row r="6168" spans="1:5" ht="15">
      <c r="A6168" s="223" t="s">
        <v>312</v>
      </c>
      <c r="B6168" s="223">
        <v>21</v>
      </c>
      <c r="C6168" s="223">
        <v>29</v>
      </c>
      <c r="D6168" s="223">
        <v>7</v>
      </c>
      <c r="E6168" s="223">
        <v>150000</v>
      </c>
    </row>
    <row r="6169" spans="1:5" ht="15">
      <c r="A6169" s="223" t="s">
        <v>312</v>
      </c>
      <c r="B6169" s="223">
        <v>24</v>
      </c>
      <c r="C6169" s="223">
        <v>26</v>
      </c>
      <c r="D6169" s="223">
        <v>7</v>
      </c>
      <c r="E6169" s="223">
        <v>167553</v>
      </c>
    </row>
    <row r="6170" spans="1:5" ht="15">
      <c r="A6170" s="223" t="s">
        <v>173</v>
      </c>
      <c r="B6170" s="223">
        <v>21</v>
      </c>
      <c r="C6170" s="223">
        <v>26</v>
      </c>
      <c r="D6170" s="223">
        <v>7</v>
      </c>
      <c r="E6170" s="223">
        <v>5000</v>
      </c>
    </row>
    <row r="6171" spans="1:5" ht="15">
      <c r="A6171" s="223" t="s">
        <v>173</v>
      </c>
      <c r="B6171" s="223">
        <v>21</v>
      </c>
      <c r="C6171" s="223">
        <v>27</v>
      </c>
      <c r="D6171" s="223">
        <v>2</v>
      </c>
      <c r="E6171" s="223">
        <v>77226</v>
      </c>
    </row>
    <row r="6172" spans="1:5" ht="15">
      <c r="A6172" s="223" t="s">
        <v>173</v>
      </c>
      <c r="B6172" s="223">
        <v>21</v>
      </c>
      <c r="C6172" s="223">
        <v>27</v>
      </c>
      <c r="D6172" s="223">
        <v>3</v>
      </c>
      <c r="E6172" s="223">
        <v>34454</v>
      </c>
    </row>
    <row r="6173" spans="1:5" ht="15">
      <c r="A6173" s="223" t="s">
        <v>173</v>
      </c>
      <c r="B6173" s="223">
        <v>21</v>
      </c>
      <c r="C6173" s="223">
        <v>27</v>
      </c>
      <c r="D6173" s="223">
        <v>4</v>
      </c>
      <c r="E6173" s="223">
        <v>52382</v>
      </c>
    </row>
    <row r="6174" spans="1:5" ht="15">
      <c r="A6174" s="223" t="s">
        <v>173</v>
      </c>
      <c r="B6174" s="223">
        <v>21</v>
      </c>
      <c r="C6174" s="223">
        <v>27</v>
      </c>
      <c r="D6174" s="223">
        <v>5</v>
      </c>
      <c r="E6174" s="223">
        <v>800</v>
      </c>
    </row>
    <row r="6175" spans="1:5" ht="15">
      <c r="A6175" s="223" t="s">
        <v>173</v>
      </c>
      <c r="B6175" s="223">
        <v>21</v>
      </c>
      <c r="C6175" s="223">
        <v>27</v>
      </c>
      <c r="D6175" s="223">
        <v>7</v>
      </c>
      <c r="E6175" s="223">
        <v>55000</v>
      </c>
    </row>
    <row r="6176" spans="1:5" ht="15">
      <c r="A6176" s="223" t="s">
        <v>173</v>
      </c>
      <c r="B6176" s="223">
        <v>21</v>
      </c>
      <c r="C6176" s="223">
        <v>32</v>
      </c>
      <c r="D6176" s="223">
        <v>7</v>
      </c>
      <c r="E6176" s="223">
        <v>1500</v>
      </c>
    </row>
    <row r="6177" spans="1:5" ht="15">
      <c r="A6177" s="223" t="s">
        <v>173</v>
      </c>
      <c r="B6177" s="223">
        <v>21</v>
      </c>
      <c r="C6177" s="223">
        <v>34</v>
      </c>
      <c r="D6177" s="223">
        <v>2</v>
      </c>
      <c r="E6177" s="223">
        <v>1287</v>
      </c>
    </row>
    <row r="6178" spans="1:5" ht="15">
      <c r="A6178" s="223" t="s">
        <v>173</v>
      </c>
      <c r="B6178" s="223">
        <v>21</v>
      </c>
      <c r="C6178" s="223">
        <v>34</v>
      </c>
      <c r="D6178" s="223">
        <v>4</v>
      </c>
      <c r="E6178" s="223">
        <v>301</v>
      </c>
    </row>
    <row r="6179" spans="1:5" ht="15">
      <c r="A6179" s="223" t="s">
        <v>173</v>
      </c>
      <c r="B6179" s="223">
        <v>24</v>
      </c>
      <c r="C6179" s="223">
        <v>26</v>
      </c>
      <c r="D6179" s="223">
        <v>7</v>
      </c>
      <c r="E6179" s="223">
        <v>33730</v>
      </c>
    </row>
    <row r="6180" spans="1:5" ht="15">
      <c r="A6180" s="223" t="s">
        <v>173</v>
      </c>
      <c r="B6180" s="223">
        <v>24</v>
      </c>
      <c r="C6180" s="223">
        <v>27</v>
      </c>
      <c r="D6180" s="223">
        <v>5</v>
      </c>
      <c r="E6180" s="223">
        <v>3064</v>
      </c>
    </row>
    <row r="6181" spans="1:5" ht="15">
      <c r="A6181" s="223" t="s">
        <v>175</v>
      </c>
      <c r="B6181" s="223">
        <v>21</v>
      </c>
      <c r="C6181" s="223">
        <v>29</v>
      </c>
      <c r="D6181" s="223">
        <v>7</v>
      </c>
      <c r="E6181" s="223">
        <v>80957</v>
      </c>
    </row>
    <row r="6182" spans="1:5" ht="15">
      <c r="A6182" s="223" t="s">
        <v>177</v>
      </c>
      <c r="B6182" s="223">
        <v>21</v>
      </c>
      <c r="C6182" s="223">
        <v>21</v>
      </c>
      <c r="D6182" s="223">
        <v>2</v>
      </c>
      <c r="E6182" s="223">
        <v>128800</v>
      </c>
    </row>
    <row r="6183" spans="1:5" ht="15">
      <c r="A6183" s="223" t="s">
        <v>177</v>
      </c>
      <c r="B6183" s="223">
        <v>21</v>
      </c>
      <c r="C6183" s="223">
        <v>21</v>
      </c>
      <c r="D6183" s="223">
        <v>3</v>
      </c>
      <c r="E6183" s="223">
        <v>83367</v>
      </c>
    </row>
    <row r="6184" spans="1:5" ht="15">
      <c r="A6184" s="223" t="s">
        <v>177</v>
      </c>
      <c r="B6184" s="223">
        <v>21</v>
      </c>
      <c r="C6184" s="223">
        <v>21</v>
      </c>
      <c r="D6184" s="223">
        <v>4</v>
      </c>
      <c r="E6184" s="223">
        <v>75264</v>
      </c>
    </row>
    <row r="6185" spans="1:5" ht="15">
      <c r="A6185" s="223" t="s">
        <v>177</v>
      </c>
      <c r="B6185" s="223">
        <v>21</v>
      </c>
      <c r="C6185" s="223">
        <v>21</v>
      </c>
      <c r="D6185" s="223">
        <v>5</v>
      </c>
      <c r="E6185" s="223">
        <v>5000</v>
      </c>
    </row>
    <row r="6186" spans="1:5" ht="15">
      <c r="A6186" s="223" t="s">
        <v>177</v>
      </c>
      <c r="B6186" s="223">
        <v>21</v>
      </c>
      <c r="C6186" s="223">
        <v>21</v>
      </c>
      <c r="D6186" s="223">
        <v>7</v>
      </c>
      <c r="E6186" s="223">
        <v>11000</v>
      </c>
    </row>
    <row r="6187" spans="1:5" ht="15">
      <c r="A6187" s="223" t="s">
        <v>177</v>
      </c>
      <c r="B6187" s="223">
        <v>21</v>
      </c>
      <c r="C6187" s="223">
        <v>21</v>
      </c>
      <c r="D6187" s="223">
        <v>8</v>
      </c>
      <c r="E6187" s="223">
        <v>6000</v>
      </c>
    </row>
    <row r="6188" spans="1:5" ht="15">
      <c r="A6188" s="223" t="s">
        <v>177</v>
      </c>
      <c r="B6188" s="223">
        <v>21</v>
      </c>
      <c r="C6188" s="223">
        <v>26</v>
      </c>
      <c r="D6188" s="223">
        <v>2</v>
      </c>
      <c r="E6188" s="223">
        <v>727461</v>
      </c>
    </row>
    <row r="6189" spans="1:5" ht="15">
      <c r="A6189" s="223" t="s">
        <v>177</v>
      </c>
      <c r="B6189" s="223">
        <v>21</v>
      </c>
      <c r="C6189" s="223">
        <v>26</v>
      </c>
      <c r="D6189" s="223">
        <v>4</v>
      </c>
      <c r="E6189" s="223">
        <v>276105</v>
      </c>
    </row>
    <row r="6190" spans="1:5" ht="15">
      <c r="A6190" s="223" t="s">
        <v>177</v>
      </c>
      <c r="B6190" s="223">
        <v>21</v>
      </c>
      <c r="C6190" s="223">
        <v>26</v>
      </c>
      <c r="D6190" s="223">
        <v>5</v>
      </c>
      <c r="E6190" s="223">
        <v>6970</v>
      </c>
    </row>
    <row r="6191" spans="1:5" ht="15">
      <c r="A6191" s="223" t="s">
        <v>177</v>
      </c>
      <c r="B6191" s="223">
        <v>21</v>
      </c>
      <c r="C6191" s="223">
        <v>26</v>
      </c>
      <c r="D6191" s="223">
        <v>7</v>
      </c>
      <c r="E6191" s="223">
        <v>62750</v>
      </c>
    </row>
    <row r="6192" spans="1:5" ht="15">
      <c r="A6192" s="223" t="s">
        <v>177</v>
      </c>
      <c r="B6192" s="223">
        <v>21</v>
      </c>
      <c r="C6192" s="223">
        <v>26</v>
      </c>
      <c r="D6192" s="223">
        <v>8</v>
      </c>
      <c r="E6192" s="223">
        <v>2200</v>
      </c>
    </row>
    <row r="6193" spans="1:5" ht="15">
      <c r="A6193" s="223" t="s">
        <v>177</v>
      </c>
      <c r="B6193" s="223">
        <v>21</v>
      </c>
      <c r="C6193" s="223">
        <v>27</v>
      </c>
      <c r="D6193" s="223">
        <v>0</v>
      </c>
      <c r="E6193" s="223">
        <v>1000</v>
      </c>
    </row>
    <row r="6194" spans="1:5" ht="15">
      <c r="A6194" s="223" t="s">
        <v>177</v>
      </c>
      <c r="B6194" s="223">
        <v>21</v>
      </c>
      <c r="C6194" s="223">
        <v>27</v>
      </c>
      <c r="D6194" s="223">
        <v>2</v>
      </c>
      <c r="E6194" s="223">
        <v>924695</v>
      </c>
    </row>
    <row r="6195" spans="1:5" ht="15">
      <c r="A6195" s="223" t="s">
        <v>177</v>
      </c>
      <c r="B6195" s="223">
        <v>21</v>
      </c>
      <c r="C6195" s="223">
        <v>27</v>
      </c>
      <c r="D6195" s="223">
        <v>3</v>
      </c>
      <c r="E6195" s="223">
        <v>1462756</v>
      </c>
    </row>
    <row r="6196" spans="1:5" ht="15">
      <c r="A6196" s="223" t="s">
        <v>177</v>
      </c>
      <c r="B6196" s="223">
        <v>21</v>
      </c>
      <c r="C6196" s="223">
        <v>27</v>
      </c>
      <c r="D6196" s="223">
        <v>4</v>
      </c>
      <c r="E6196" s="223">
        <v>1330293</v>
      </c>
    </row>
    <row r="6197" spans="1:5" ht="15">
      <c r="A6197" s="223" t="s">
        <v>177</v>
      </c>
      <c r="B6197" s="223">
        <v>21</v>
      </c>
      <c r="C6197" s="223">
        <v>27</v>
      </c>
      <c r="D6197" s="223">
        <v>5</v>
      </c>
      <c r="E6197" s="223">
        <v>37920</v>
      </c>
    </row>
    <row r="6198" spans="1:5" ht="15">
      <c r="A6198" s="223" t="s">
        <v>177</v>
      </c>
      <c r="B6198" s="223">
        <v>21</v>
      </c>
      <c r="C6198" s="223">
        <v>27</v>
      </c>
      <c r="D6198" s="223">
        <v>7</v>
      </c>
      <c r="E6198" s="223">
        <v>553500</v>
      </c>
    </row>
    <row r="6199" spans="1:5" ht="15">
      <c r="A6199" s="223" t="s">
        <v>177</v>
      </c>
      <c r="B6199" s="223">
        <v>21</v>
      </c>
      <c r="C6199" s="223">
        <v>27</v>
      </c>
      <c r="D6199" s="223">
        <v>8</v>
      </c>
      <c r="E6199" s="223">
        <v>1000</v>
      </c>
    </row>
    <row r="6200" spans="1:5" ht="15">
      <c r="A6200" s="223" t="s">
        <v>177</v>
      </c>
      <c r="B6200" s="223">
        <v>21</v>
      </c>
      <c r="C6200" s="223">
        <v>29</v>
      </c>
      <c r="D6200" s="223">
        <v>7</v>
      </c>
      <c r="E6200" s="223">
        <v>15000</v>
      </c>
    </row>
    <row r="6201" spans="1:5" ht="15">
      <c r="A6201" s="223" t="s">
        <v>177</v>
      </c>
      <c r="B6201" s="223">
        <v>21</v>
      </c>
      <c r="C6201" s="223">
        <v>31</v>
      </c>
      <c r="D6201" s="223">
        <v>3</v>
      </c>
      <c r="E6201" s="223">
        <v>4800</v>
      </c>
    </row>
    <row r="6202" spans="1:5" ht="15">
      <c r="A6202" s="223" t="s">
        <v>177</v>
      </c>
      <c r="B6202" s="223">
        <v>21</v>
      </c>
      <c r="C6202" s="223">
        <v>31</v>
      </c>
      <c r="D6202" s="223">
        <v>4</v>
      </c>
      <c r="E6202" s="223">
        <v>959</v>
      </c>
    </row>
    <row r="6203" spans="1:5" ht="15">
      <c r="A6203" s="223" t="s">
        <v>177</v>
      </c>
      <c r="B6203" s="223">
        <v>21</v>
      </c>
      <c r="C6203" s="223">
        <v>31</v>
      </c>
      <c r="D6203" s="223">
        <v>7</v>
      </c>
      <c r="E6203" s="223">
        <v>5000</v>
      </c>
    </row>
    <row r="6204" spans="1:5" ht="15">
      <c r="A6204" s="223" t="s">
        <v>177</v>
      </c>
      <c r="B6204" s="223">
        <v>21</v>
      </c>
      <c r="C6204" s="223">
        <v>32</v>
      </c>
      <c r="D6204" s="223">
        <v>5</v>
      </c>
      <c r="E6204" s="223">
        <v>5000</v>
      </c>
    </row>
    <row r="6205" spans="1:5" ht="15">
      <c r="A6205" s="223" t="s">
        <v>177</v>
      </c>
      <c r="B6205" s="223">
        <v>21</v>
      </c>
      <c r="C6205" s="223">
        <v>33</v>
      </c>
      <c r="D6205" s="223">
        <v>5</v>
      </c>
      <c r="E6205" s="223">
        <v>3000</v>
      </c>
    </row>
    <row r="6206" spans="1:5" ht="15">
      <c r="A6206" s="223" t="s">
        <v>177</v>
      </c>
      <c r="B6206" s="223">
        <v>21</v>
      </c>
      <c r="C6206" s="223">
        <v>33</v>
      </c>
      <c r="D6206" s="223">
        <v>7</v>
      </c>
      <c r="E6206" s="223">
        <v>20500</v>
      </c>
    </row>
    <row r="6207" spans="1:5" ht="15">
      <c r="A6207" s="223" t="s">
        <v>177</v>
      </c>
      <c r="B6207" s="223">
        <v>21</v>
      </c>
      <c r="C6207" s="223">
        <v>34</v>
      </c>
      <c r="D6207" s="223">
        <v>2</v>
      </c>
      <c r="E6207" s="223">
        <v>28549</v>
      </c>
    </row>
    <row r="6208" spans="1:5" ht="15">
      <c r="A6208" s="223" t="s">
        <v>177</v>
      </c>
      <c r="B6208" s="223">
        <v>21</v>
      </c>
      <c r="C6208" s="223">
        <v>34</v>
      </c>
      <c r="D6208" s="223">
        <v>4</v>
      </c>
      <c r="E6208" s="223">
        <v>11698</v>
      </c>
    </row>
    <row r="6209" spans="1:5" ht="15">
      <c r="A6209" s="223" t="s">
        <v>177</v>
      </c>
      <c r="B6209" s="223">
        <v>24</v>
      </c>
      <c r="C6209" s="223">
        <v>27</v>
      </c>
      <c r="D6209" s="223">
        <v>2</v>
      </c>
      <c r="E6209" s="223">
        <v>200423</v>
      </c>
    </row>
    <row r="6210" spans="1:5" ht="15">
      <c r="A6210" s="223" t="s">
        <v>177</v>
      </c>
      <c r="B6210" s="223">
        <v>24</v>
      </c>
      <c r="C6210" s="223">
        <v>27</v>
      </c>
      <c r="D6210" s="223">
        <v>3</v>
      </c>
      <c r="E6210" s="223">
        <v>88215</v>
      </c>
    </row>
    <row r="6211" spans="1:5" ht="15">
      <c r="A6211" s="223" t="s">
        <v>177</v>
      </c>
      <c r="B6211" s="223">
        <v>24</v>
      </c>
      <c r="C6211" s="223">
        <v>27</v>
      </c>
      <c r="D6211" s="223">
        <v>4</v>
      </c>
      <c r="E6211" s="223">
        <v>131961</v>
      </c>
    </row>
    <row r="6212" spans="1:5" ht="15">
      <c r="A6212" s="223" t="s">
        <v>179</v>
      </c>
      <c r="B6212" s="223">
        <v>21</v>
      </c>
      <c r="C6212" s="223">
        <v>21</v>
      </c>
      <c r="D6212" s="223">
        <v>2</v>
      </c>
      <c r="E6212" s="223">
        <v>825352</v>
      </c>
    </row>
    <row r="6213" spans="1:5" ht="15">
      <c r="A6213" s="223" t="s">
        <v>179</v>
      </c>
      <c r="B6213" s="223">
        <v>21</v>
      </c>
      <c r="C6213" s="223">
        <v>21</v>
      </c>
      <c r="D6213" s="223">
        <v>3</v>
      </c>
      <c r="E6213" s="223">
        <v>342826</v>
      </c>
    </row>
    <row r="6214" spans="1:5" ht="15">
      <c r="A6214" s="223" t="s">
        <v>179</v>
      </c>
      <c r="B6214" s="223">
        <v>21</v>
      </c>
      <c r="C6214" s="223">
        <v>21</v>
      </c>
      <c r="D6214" s="223">
        <v>4</v>
      </c>
      <c r="E6214" s="223">
        <v>414791</v>
      </c>
    </row>
    <row r="6215" spans="1:5" ht="15">
      <c r="A6215" s="223" t="s">
        <v>179</v>
      </c>
      <c r="B6215" s="223">
        <v>21</v>
      </c>
      <c r="C6215" s="223">
        <v>21</v>
      </c>
      <c r="D6215" s="223">
        <v>5</v>
      </c>
      <c r="E6215" s="223">
        <v>15000</v>
      </c>
    </row>
    <row r="6216" spans="1:5" ht="15">
      <c r="A6216" s="223" t="s">
        <v>179</v>
      </c>
      <c r="B6216" s="223">
        <v>21</v>
      </c>
      <c r="C6216" s="223">
        <v>21</v>
      </c>
      <c r="D6216" s="223">
        <v>7</v>
      </c>
      <c r="E6216" s="223">
        <v>8000</v>
      </c>
    </row>
    <row r="6217" spans="1:5" ht="15">
      <c r="A6217" s="223" t="s">
        <v>179</v>
      </c>
      <c r="B6217" s="223">
        <v>21</v>
      </c>
      <c r="C6217" s="223">
        <v>21</v>
      </c>
      <c r="D6217" s="223">
        <v>8</v>
      </c>
      <c r="E6217" s="223">
        <v>3400</v>
      </c>
    </row>
    <row r="6218" spans="1:5" ht="15">
      <c r="A6218" s="223" t="s">
        <v>179</v>
      </c>
      <c r="B6218" s="223">
        <v>21</v>
      </c>
      <c r="C6218" s="223">
        <v>22</v>
      </c>
      <c r="D6218" s="223">
        <v>3</v>
      </c>
      <c r="E6218" s="223">
        <v>71344</v>
      </c>
    </row>
    <row r="6219" spans="1:5" ht="15">
      <c r="A6219" s="223" t="s">
        <v>179</v>
      </c>
      <c r="B6219" s="223">
        <v>21</v>
      </c>
      <c r="C6219" s="223">
        <v>22</v>
      </c>
      <c r="D6219" s="223">
        <v>4</v>
      </c>
      <c r="E6219" s="223">
        <v>28400</v>
      </c>
    </row>
    <row r="6220" spans="1:5" ht="15">
      <c r="A6220" s="223" t="s">
        <v>179</v>
      </c>
      <c r="B6220" s="223">
        <v>21</v>
      </c>
      <c r="C6220" s="223">
        <v>23</v>
      </c>
      <c r="D6220" s="223">
        <v>2</v>
      </c>
      <c r="E6220" s="223">
        <v>154187</v>
      </c>
    </row>
    <row r="6221" spans="1:5" ht="15">
      <c r="A6221" s="223" t="s">
        <v>179</v>
      </c>
      <c r="B6221" s="223">
        <v>21</v>
      </c>
      <c r="C6221" s="223">
        <v>23</v>
      </c>
      <c r="D6221" s="223">
        <v>3</v>
      </c>
      <c r="E6221" s="223">
        <v>72313</v>
      </c>
    </row>
    <row r="6222" spans="1:5" ht="15">
      <c r="A6222" s="223" t="s">
        <v>179</v>
      </c>
      <c r="B6222" s="223">
        <v>21</v>
      </c>
      <c r="C6222" s="223">
        <v>23</v>
      </c>
      <c r="D6222" s="223">
        <v>4</v>
      </c>
      <c r="E6222" s="223">
        <v>85078</v>
      </c>
    </row>
    <row r="6223" spans="1:5" ht="15">
      <c r="A6223" s="223" t="s">
        <v>179</v>
      </c>
      <c r="B6223" s="223">
        <v>21</v>
      </c>
      <c r="C6223" s="223">
        <v>23</v>
      </c>
      <c r="D6223" s="223">
        <v>5</v>
      </c>
      <c r="E6223" s="223">
        <v>3500</v>
      </c>
    </row>
    <row r="6224" spans="1:5" ht="15">
      <c r="A6224" s="223" t="s">
        <v>179</v>
      </c>
      <c r="B6224" s="223">
        <v>21</v>
      </c>
      <c r="C6224" s="223">
        <v>23</v>
      </c>
      <c r="D6224" s="223">
        <v>7</v>
      </c>
      <c r="E6224" s="223">
        <v>4000</v>
      </c>
    </row>
    <row r="6225" spans="1:5" ht="15">
      <c r="A6225" s="223" t="s">
        <v>179</v>
      </c>
      <c r="B6225" s="223">
        <v>21</v>
      </c>
      <c r="C6225" s="223">
        <v>23</v>
      </c>
      <c r="D6225" s="223">
        <v>8</v>
      </c>
      <c r="E6225" s="223">
        <v>3300</v>
      </c>
    </row>
    <row r="6226" spans="1:5" ht="15">
      <c r="A6226" s="223" t="s">
        <v>179</v>
      </c>
      <c r="B6226" s="223">
        <v>21</v>
      </c>
      <c r="C6226" s="223">
        <v>26</v>
      </c>
      <c r="D6226" s="223">
        <v>2</v>
      </c>
      <c r="E6226" s="223">
        <v>4378127</v>
      </c>
    </row>
    <row r="6227" spans="1:5" ht="15">
      <c r="A6227" s="223" t="s">
        <v>179</v>
      </c>
      <c r="B6227" s="223">
        <v>21</v>
      </c>
      <c r="C6227" s="223">
        <v>26</v>
      </c>
      <c r="D6227" s="223">
        <v>3</v>
      </c>
      <c r="E6227" s="223">
        <v>400391</v>
      </c>
    </row>
    <row r="6228" spans="1:5" ht="15">
      <c r="A6228" s="223" t="s">
        <v>179</v>
      </c>
      <c r="B6228" s="223">
        <v>21</v>
      </c>
      <c r="C6228" s="223">
        <v>26</v>
      </c>
      <c r="D6228" s="223">
        <v>4</v>
      </c>
      <c r="E6228" s="223">
        <v>1789437</v>
      </c>
    </row>
    <row r="6229" spans="1:5" ht="15">
      <c r="A6229" s="223" t="s">
        <v>179</v>
      </c>
      <c r="B6229" s="223">
        <v>21</v>
      </c>
      <c r="C6229" s="223">
        <v>26</v>
      </c>
      <c r="D6229" s="223">
        <v>5</v>
      </c>
      <c r="E6229" s="223">
        <v>100000</v>
      </c>
    </row>
    <row r="6230" spans="1:5" ht="15">
      <c r="A6230" s="223" t="s">
        <v>179</v>
      </c>
      <c r="B6230" s="223">
        <v>21</v>
      </c>
      <c r="C6230" s="223">
        <v>26</v>
      </c>
      <c r="D6230" s="223">
        <v>7</v>
      </c>
      <c r="E6230" s="223">
        <v>297100</v>
      </c>
    </row>
    <row r="6231" spans="1:5" ht="15">
      <c r="A6231" s="223" t="s">
        <v>179</v>
      </c>
      <c r="B6231" s="223">
        <v>21</v>
      </c>
      <c r="C6231" s="223">
        <v>26</v>
      </c>
      <c r="D6231" s="223">
        <v>8</v>
      </c>
      <c r="E6231" s="223">
        <v>10000</v>
      </c>
    </row>
    <row r="6232" spans="1:5" ht="15">
      <c r="A6232" s="223" t="s">
        <v>179</v>
      </c>
      <c r="B6232" s="223">
        <v>21</v>
      </c>
      <c r="C6232" s="223">
        <v>27</v>
      </c>
      <c r="D6232" s="223">
        <v>0</v>
      </c>
      <c r="E6232" s="223">
        <v>7000</v>
      </c>
    </row>
    <row r="6233" spans="1:5" ht="15">
      <c r="A6233" s="223" t="s">
        <v>179</v>
      </c>
      <c r="B6233" s="223">
        <v>21</v>
      </c>
      <c r="C6233" s="223">
        <v>27</v>
      </c>
      <c r="D6233" s="223">
        <v>2</v>
      </c>
      <c r="E6233" s="223">
        <v>8740215</v>
      </c>
    </row>
    <row r="6234" spans="1:5" ht="15">
      <c r="A6234" s="223" t="s">
        <v>179</v>
      </c>
      <c r="B6234" s="223">
        <v>21</v>
      </c>
      <c r="C6234" s="223">
        <v>27</v>
      </c>
      <c r="D6234" s="223">
        <v>3</v>
      </c>
      <c r="E6234" s="223">
        <v>8050697</v>
      </c>
    </row>
    <row r="6235" spans="1:5" ht="15">
      <c r="A6235" s="223" t="s">
        <v>179</v>
      </c>
      <c r="B6235" s="223">
        <v>21</v>
      </c>
      <c r="C6235" s="223">
        <v>27</v>
      </c>
      <c r="D6235" s="223">
        <v>4</v>
      </c>
      <c r="E6235" s="223">
        <v>7821898</v>
      </c>
    </row>
    <row r="6236" spans="1:5" ht="15">
      <c r="A6236" s="223" t="s">
        <v>179</v>
      </c>
      <c r="B6236" s="223">
        <v>21</v>
      </c>
      <c r="C6236" s="223">
        <v>27</v>
      </c>
      <c r="D6236" s="223">
        <v>5</v>
      </c>
      <c r="E6236" s="223">
        <v>132050</v>
      </c>
    </row>
    <row r="6237" spans="1:5" ht="15">
      <c r="A6237" s="223" t="s">
        <v>179</v>
      </c>
      <c r="B6237" s="223">
        <v>21</v>
      </c>
      <c r="C6237" s="223">
        <v>27</v>
      </c>
      <c r="D6237" s="223">
        <v>7</v>
      </c>
      <c r="E6237" s="223">
        <v>23900</v>
      </c>
    </row>
    <row r="6238" spans="1:5" ht="15">
      <c r="A6238" s="223" t="s">
        <v>179</v>
      </c>
      <c r="B6238" s="223">
        <v>21</v>
      </c>
      <c r="C6238" s="223">
        <v>27</v>
      </c>
      <c r="D6238" s="223">
        <v>8</v>
      </c>
      <c r="E6238" s="223">
        <v>15000</v>
      </c>
    </row>
    <row r="6239" spans="1:5" ht="15">
      <c r="A6239" s="223" t="s">
        <v>179</v>
      </c>
      <c r="B6239" s="223">
        <v>21</v>
      </c>
      <c r="C6239" s="223">
        <v>31</v>
      </c>
      <c r="D6239" s="223">
        <v>2</v>
      </c>
      <c r="E6239" s="223">
        <v>195170</v>
      </c>
    </row>
    <row r="6240" spans="1:5" ht="15">
      <c r="A6240" s="223" t="s">
        <v>179</v>
      </c>
      <c r="B6240" s="223">
        <v>21</v>
      </c>
      <c r="C6240" s="223">
        <v>31</v>
      </c>
      <c r="D6240" s="223">
        <v>4</v>
      </c>
      <c r="E6240" s="223">
        <v>71738</v>
      </c>
    </row>
    <row r="6241" spans="1:5" ht="15">
      <c r="A6241" s="223" t="s">
        <v>179</v>
      </c>
      <c r="B6241" s="223">
        <v>21</v>
      </c>
      <c r="C6241" s="223">
        <v>31</v>
      </c>
      <c r="D6241" s="223">
        <v>5</v>
      </c>
      <c r="E6241" s="223">
        <v>1600</v>
      </c>
    </row>
    <row r="6242" spans="1:5" ht="15">
      <c r="A6242" s="223" t="s">
        <v>179</v>
      </c>
      <c r="B6242" s="223">
        <v>21</v>
      </c>
      <c r="C6242" s="223">
        <v>31</v>
      </c>
      <c r="D6242" s="223">
        <v>7</v>
      </c>
      <c r="E6242" s="223">
        <v>9400</v>
      </c>
    </row>
    <row r="6243" spans="1:5" ht="15">
      <c r="A6243" s="223" t="s">
        <v>179</v>
      </c>
      <c r="B6243" s="223">
        <v>21</v>
      </c>
      <c r="C6243" s="223">
        <v>31</v>
      </c>
      <c r="D6243" s="223">
        <v>8</v>
      </c>
      <c r="E6243" s="223">
        <v>2200</v>
      </c>
    </row>
    <row r="6244" spans="1:5" ht="15">
      <c r="A6244" s="223" t="s">
        <v>179</v>
      </c>
      <c r="B6244" s="223">
        <v>21</v>
      </c>
      <c r="C6244" s="223">
        <v>33</v>
      </c>
      <c r="D6244" s="223">
        <v>5</v>
      </c>
      <c r="E6244" s="223">
        <v>70000</v>
      </c>
    </row>
    <row r="6245" spans="1:5" ht="15">
      <c r="A6245" s="223" t="s">
        <v>179</v>
      </c>
      <c r="B6245" s="223">
        <v>21</v>
      </c>
      <c r="C6245" s="223">
        <v>34</v>
      </c>
      <c r="D6245" s="223">
        <v>2</v>
      </c>
      <c r="E6245" s="223">
        <v>220962</v>
      </c>
    </row>
    <row r="6246" spans="1:5" ht="15">
      <c r="A6246" s="223" t="s">
        <v>179</v>
      </c>
      <c r="B6246" s="223">
        <v>21</v>
      </c>
      <c r="C6246" s="223">
        <v>34</v>
      </c>
      <c r="D6246" s="223">
        <v>4</v>
      </c>
      <c r="E6246" s="223">
        <v>40004</v>
      </c>
    </row>
    <row r="6247" spans="1:5" ht="15">
      <c r="A6247" s="223" t="s">
        <v>179</v>
      </c>
      <c r="B6247" s="223">
        <v>24</v>
      </c>
      <c r="C6247" s="223">
        <v>26</v>
      </c>
      <c r="D6247" s="223">
        <v>2</v>
      </c>
      <c r="E6247" s="223">
        <v>193579</v>
      </c>
    </row>
    <row r="6248" spans="1:5" ht="15">
      <c r="A6248" s="223" t="s">
        <v>179</v>
      </c>
      <c r="B6248" s="223">
        <v>24</v>
      </c>
      <c r="C6248" s="223">
        <v>26</v>
      </c>
      <c r="D6248" s="223">
        <v>4</v>
      </c>
      <c r="E6248" s="223">
        <v>75480</v>
      </c>
    </row>
    <row r="6249" spans="1:5" ht="15">
      <c r="A6249" s="223" t="s">
        <v>179</v>
      </c>
      <c r="B6249" s="223">
        <v>24</v>
      </c>
      <c r="C6249" s="223">
        <v>27</v>
      </c>
      <c r="D6249" s="223">
        <v>2</v>
      </c>
      <c r="E6249" s="223">
        <v>1273554</v>
      </c>
    </row>
    <row r="6250" spans="1:5" ht="15">
      <c r="A6250" s="223" t="s">
        <v>179</v>
      </c>
      <c r="B6250" s="223">
        <v>24</v>
      </c>
      <c r="C6250" s="223">
        <v>27</v>
      </c>
      <c r="D6250" s="223">
        <v>3</v>
      </c>
      <c r="E6250" s="223">
        <v>879909</v>
      </c>
    </row>
    <row r="6251" spans="1:5" ht="15">
      <c r="A6251" s="223" t="s">
        <v>179</v>
      </c>
      <c r="B6251" s="223">
        <v>24</v>
      </c>
      <c r="C6251" s="223">
        <v>27</v>
      </c>
      <c r="D6251" s="223">
        <v>4</v>
      </c>
      <c r="E6251" s="223">
        <v>972995</v>
      </c>
    </row>
    <row r="6252" spans="1:5" ht="15">
      <c r="A6252" s="223" t="s">
        <v>179</v>
      </c>
      <c r="B6252" s="223">
        <v>24</v>
      </c>
      <c r="C6252" s="223">
        <v>27</v>
      </c>
      <c r="D6252" s="223">
        <v>5</v>
      </c>
      <c r="E6252" s="223">
        <v>18670</v>
      </c>
    </row>
    <row r="6253" spans="1:5" ht="15">
      <c r="A6253" s="223" t="s">
        <v>181</v>
      </c>
      <c r="B6253" s="223">
        <v>21</v>
      </c>
      <c r="C6253" s="223">
        <v>21</v>
      </c>
      <c r="D6253" s="223">
        <v>2</v>
      </c>
      <c r="E6253" s="223">
        <v>447640</v>
      </c>
    </row>
    <row r="6254" spans="1:5" ht="15">
      <c r="A6254" s="223" t="s">
        <v>181</v>
      </c>
      <c r="B6254" s="223">
        <v>21</v>
      </c>
      <c r="C6254" s="223">
        <v>21</v>
      </c>
      <c r="D6254" s="223">
        <v>3</v>
      </c>
      <c r="E6254" s="223">
        <v>89892</v>
      </c>
    </row>
    <row r="6255" spans="1:5" ht="15">
      <c r="A6255" s="223" t="s">
        <v>181</v>
      </c>
      <c r="B6255" s="223">
        <v>21</v>
      </c>
      <c r="C6255" s="223">
        <v>21</v>
      </c>
      <c r="D6255" s="223">
        <v>4</v>
      </c>
      <c r="E6255" s="223">
        <v>183464</v>
      </c>
    </row>
    <row r="6256" spans="1:5" ht="15">
      <c r="A6256" s="223" t="s">
        <v>181</v>
      </c>
      <c r="B6256" s="223">
        <v>21</v>
      </c>
      <c r="C6256" s="223">
        <v>21</v>
      </c>
      <c r="D6256" s="223">
        <v>5</v>
      </c>
      <c r="E6256" s="223">
        <v>5000</v>
      </c>
    </row>
    <row r="6257" spans="1:5" ht="15">
      <c r="A6257" s="223" t="s">
        <v>181</v>
      </c>
      <c r="B6257" s="223">
        <v>21</v>
      </c>
      <c r="C6257" s="223">
        <v>21</v>
      </c>
      <c r="D6257" s="223">
        <v>7</v>
      </c>
      <c r="E6257" s="223">
        <v>19000</v>
      </c>
    </row>
    <row r="6258" spans="1:5" ht="15">
      <c r="A6258" s="223" t="s">
        <v>181</v>
      </c>
      <c r="B6258" s="223">
        <v>21</v>
      </c>
      <c r="C6258" s="223">
        <v>21</v>
      </c>
      <c r="D6258" s="223">
        <v>8</v>
      </c>
      <c r="E6258" s="223">
        <v>5000</v>
      </c>
    </row>
    <row r="6259" spans="1:5" ht="15">
      <c r="A6259" s="223" t="s">
        <v>181</v>
      </c>
      <c r="B6259" s="223">
        <v>21</v>
      </c>
      <c r="C6259" s="223">
        <v>25</v>
      </c>
      <c r="D6259" s="223">
        <v>3</v>
      </c>
      <c r="E6259" s="223">
        <v>132063</v>
      </c>
    </row>
    <row r="6260" spans="1:5" ht="15">
      <c r="A6260" s="223" t="s">
        <v>181</v>
      </c>
      <c r="B6260" s="223">
        <v>21</v>
      </c>
      <c r="C6260" s="223">
        <v>25</v>
      </c>
      <c r="D6260" s="223">
        <v>4</v>
      </c>
      <c r="E6260" s="223">
        <v>99503</v>
      </c>
    </row>
    <row r="6261" spans="1:5" ht="15">
      <c r="A6261" s="223" t="s">
        <v>181</v>
      </c>
      <c r="B6261" s="223">
        <v>21</v>
      </c>
      <c r="C6261" s="223">
        <v>26</v>
      </c>
      <c r="D6261" s="223">
        <v>2</v>
      </c>
      <c r="E6261" s="223">
        <v>1387723</v>
      </c>
    </row>
    <row r="6262" spans="1:5" ht="15">
      <c r="A6262" s="223" t="s">
        <v>181</v>
      </c>
      <c r="B6262" s="223">
        <v>21</v>
      </c>
      <c r="C6262" s="223">
        <v>26</v>
      </c>
      <c r="D6262" s="223">
        <v>3</v>
      </c>
      <c r="E6262" s="223">
        <v>203251</v>
      </c>
    </row>
    <row r="6263" spans="1:5" ht="15">
      <c r="A6263" s="223" t="s">
        <v>181</v>
      </c>
      <c r="B6263" s="223">
        <v>21</v>
      </c>
      <c r="C6263" s="223">
        <v>26</v>
      </c>
      <c r="D6263" s="223">
        <v>4</v>
      </c>
      <c r="E6263" s="223">
        <v>642271</v>
      </c>
    </row>
    <row r="6264" spans="1:5" ht="15">
      <c r="A6264" s="223" t="s">
        <v>181</v>
      </c>
      <c r="B6264" s="223">
        <v>21</v>
      </c>
      <c r="C6264" s="223">
        <v>26</v>
      </c>
      <c r="D6264" s="223">
        <v>5</v>
      </c>
      <c r="E6264" s="223">
        <v>12000</v>
      </c>
    </row>
    <row r="6265" spans="1:5" ht="15">
      <c r="A6265" s="223" t="s">
        <v>181</v>
      </c>
      <c r="B6265" s="223">
        <v>21</v>
      </c>
      <c r="C6265" s="223">
        <v>26</v>
      </c>
      <c r="D6265" s="223">
        <v>8</v>
      </c>
      <c r="E6265" s="223">
        <v>3000</v>
      </c>
    </row>
    <row r="6266" spans="1:5" ht="15">
      <c r="A6266" s="223" t="s">
        <v>181</v>
      </c>
      <c r="B6266" s="223">
        <v>21</v>
      </c>
      <c r="C6266" s="223">
        <v>27</v>
      </c>
      <c r="D6266" s="223">
        <v>0</v>
      </c>
      <c r="E6266" s="223">
        <v>3000</v>
      </c>
    </row>
    <row r="6267" spans="1:5" ht="15">
      <c r="A6267" s="223" t="s">
        <v>181</v>
      </c>
      <c r="B6267" s="223">
        <v>21</v>
      </c>
      <c r="C6267" s="223">
        <v>27</v>
      </c>
      <c r="D6267" s="223">
        <v>2</v>
      </c>
      <c r="E6267" s="223">
        <v>2603029</v>
      </c>
    </row>
    <row r="6268" spans="1:5" ht="15">
      <c r="A6268" s="223" t="s">
        <v>181</v>
      </c>
      <c r="B6268" s="223">
        <v>21</v>
      </c>
      <c r="C6268" s="223">
        <v>27</v>
      </c>
      <c r="D6268" s="223">
        <v>3</v>
      </c>
      <c r="E6268" s="223">
        <v>2856564</v>
      </c>
    </row>
    <row r="6269" spans="1:5" ht="15">
      <c r="A6269" s="223" t="s">
        <v>181</v>
      </c>
      <c r="B6269" s="223">
        <v>21</v>
      </c>
      <c r="C6269" s="223">
        <v>27</v>
      </c>
      <c r="D6269" s="223">
        <v>4</v>
      </c>
      <c r="E6269" s="223">
        <v>2749203</v>
      </c>
    </row>
    <row r="6270" spans="1:5" ht="15">
      <c r="A6270" s="223" t="s">
        <v>181</v>
      </c>
      <c r="B6270" s="223">
        <v>21</v>
      </c>
      <c r="C6270" s="223">
        <v>27</v>
      </c>
      <c r="D6270" s="223">
        <v>5</v>
      </c>
      <c r="E6270" s="223">
        <v>59000</v>
      </c>
    </row>
    <row r="6271" spans="1:5" ht="15">
      <c r="A6271" s="223" t="s">
        <v>181</v>
      </c>
      <c r="B6271" s="223">
        <v>21</v>
      </c>
      <c r="C6271" s="223">
        <v>27</v>
      </c>
      <c r="D6271" s="223">
        <v>7</v>
      </c>
      <c r="E6271" s="223">
        <v>885500</v>
      </c>
    </row>
    <row r="6272" spans="1:5" ht="15">
      <c r="A6272" s="223" t="s">
        <v>181</v>
      </c>
      <c r="B6272" s="223">
        <v>21</v>
      </c>
      <c r="C6272" s="223">
        <v>27</v>
      </c>
      <c r="D6272" s="223">
        <v>8</v>
      </c>
      <c r="E6272" s="223">
        <v>7000</v>
      </c>
    </row>
    <row r="6273" spans="1:5" ht="15">
      <c r="A6273" s="223" t="s">
        <v>181</v>
      </c>
      <c r="B6273" s="223">
        <v>21</v>
      </c>
      <c r="C6273" s="223">
        <v>31</v>
      </c>
      <c r="D6273" s="223">
        <v>2</v>
      </c>
      <c r="E6273" s="223">
        <v>8748</v>
      </c>
    </row>
    <row r="6274" spans="1:5" ht="15">
      <c r="A6274" s="223" t="s">
        <v>181</v>
      </c>
      <c r="B6274" s="223">
        <v>21</v>
      </c>
      <c r="C6274" s="223">
        <v>31</v>
      </c>
      <c r="D6274" s="223">
        <v>4</v>
      </c>
      <c r="E6274" s="223">
        <v>2081</v>
      </c>
    </row>
    <row r="6275" spans="1:5" ht="15">
      <c r="A6275" s="223" t="s">
        <v>181</v>
      </c>
      <c r="B6275" s="223">
        <v>21</v>
      </c>
      <c r="C6275" s="223">
        <v>31</v>
      </c>
      <c r="D6275" s="223">
        <v>5</v>
      </c>
      <c r="E6275" s="223">
        <v>2000</v>
      </c>
    </row>
    <row r="6276" spans="1:5" ht="15">
      <c r="A6276" s="223" t="s">
        <v>181</v>
      </c>
      <c r="B6276" s="223">
        <v>21</v>
      </c>
      <c r="C6276" s="223">
        <v>31</v>
      </c>
      <c r="D6276" s="223">
        <v>7</v>
      </c>
      <c r="E6276" s="223">
        <v>6000</v>
      </c>
    </row>
    <row r="6277" spans="1:5" ht="15">
      <c r="A6277" s="223" t="s">
        <v>181</v>
      </c>
      <c r="B6277" s="223">
        <v>21</v>
      </c>
      <c r="C6277" s="223">
        <v>31</v>
      </c>
      <c r="D6277" s="223">
        <v>8</v>
      </c>
      <c r="E6277" s="223">
        <v>7000</v>
      </c>
    </row>
    <row r="6278" spans="1:5" ht="15">
      <c r="A6278" s="223" t="s">
        <v>181</v>
      </c>
      <c r="B6278" s="223">
        <v>21</v>
      </c>
      <c r="C6278" s="223">
        <v>32</v>
      </c>
      <c r="D6278" s="223">
        <v>5</v>
      </c>
      <c r="E6278" s="223">
        <v>25000</v>
      </c>
    </row>
    <row r="6279" spans="1:5" ht="15">
      <c r="A6279" s="223" t="s">
        <v>181</v>
      </c>
      <c r="B6279" s="223">
        <v>21</v>
      </c>
      <c r="C6279" s="223">
        <v>32</v>
      </c>
      <c r="D6279" s="223">
        <v>7</v>
      </c>
      <c r="E6279" s="223">
        <v>500</v>
      </c>
    </row>
    <row r="6280" spans="1:5" ht="15">
      <c r="A6280" s="223" t="s">
        <v>181</v>
      </c>
      <c r="B6280" s="223">
        <v>21</v>
      </c>
      <c r="C6280" s="223">
        <v>33</v>
      </c>
      <c r="D6280" s="223">
        <v>5</v>
      </c>
      <c r="E6280" s="223">
        <v>12000</v>
      </c>
    </row>
    <row r="6281" spans="1:5" ht="15">
      <c r="A6281" s="223" t="s">
        <v>181</v>
      </c>
      <c r="B6281" s="223">
        <v>24</v>
      </c>
      <c r="C6281" s="223">
        <v>27</v>
      </c>
      <c r="D6281" s="223">
        <v>2</v>
      </c>
      <c r="E6281" s="223">
        <v>654489</v>
      </c>
    </row>
    <row r="6282" spans="1:5" ht="15">
      <c r="A6282" s="223" t="s">
        <v>181</v>
      </c>
      <c r="B6282" s="223">
        <v>24</v>
      </c>
      <c r="C6282" s="223">
        <v>27</v>
      </c>
      <c r="D6282" s="223">
        <v>4</v>
      </c>
      <c r="E6282" s="223">
        <v>257755</v>
      </c>
    </row>
    <row r="6283" spans="1:5" ht="15">
      <c r="A6283" s="223" t="s">
        <v>181</v>
      </c>
      <c r="B6283" s="223">
        <v>24</v>
      </c>
      <c r="C6283" s="223">
        <v>27</v>
      </c>
      <c r="D6283" s="223">
        <v>7</v>
      </c>
      <c r="E6283" s="223">
        <v>270883</v>
      </c>
    </row>
    <row r="6284" spans="1:5" ht="15">
      <c r="A6284" s="223" t="s">
        <v>407</v>
      </c>
      <c r="B6284" s="223">
        <v>21</v>
      </c>
      <c r="C6284" s="223">
        <v>21</v>
      </c>
      <c r="D6284" s="223">
        <v>2</v>
      </c>
      <c r="E6284" s="223">
        <v>55716</v>
      </c>
    </row>
    <row r="6285" spans="1:5" ht="15">
      <c r="A6285" s="223" t="s">
        <v>407</v>
      </c>
      <c r="B6285" s="223">
        <v>21</v>
      </c>
      <c r="C6285" s="223">
        <v>21</v>
      </c>
      <c r="D6285" s="223">
        <v>4</v>
      </c>
      <c r="E6285" s="223">
        <v>16179</v>
      </c>
    </row>
    <row r="6286" spans="1:5" ht="15">
      <c r="A6286" s="223" t="s">
        <v>407</v>
      </c>
      <c r="B6286" s="223">
        <v>21</v>
      </c>
      <c r="C6286" s="223">
        <v>21</v>
      </c>
      <c r="D6286" s="223">
        <v>7</v>
      </c>
      <c r="E6286" s="223">
        <v>5000</v>
      </c>
    </row>
    <row r="6287" spans="1:5" ht="15">
      <c r="A6287" s="223" t="s">
        <v>407</v>
      </c>
      <c r="B6287" s="223">
        <v>21</v>
      </c>
      <c r="C6287" s="223">
        <v>26</v>
      </c>
      <c r="D6287" s="223">
        <v>2</v>
      </c>
      <c r="E6287" s="223">
        <v>109660</v>
      </c>
    </row>
    <row r="6288" spans="1:5" ht="15">
      <c r="A6288" s="223" t="s">
        <v>407</v>
      </c>
      <c r="B6288" s="223">
        <v>21</v>
      </c>
      <c r="C6288" s="223">
        <v>26</v>
      </c>
      <c r="D6288" s="223">
        <v>4</v>
      </c>
      <c r="E6288" s="223">
        <v>38351</v>
      </c>
    </row>
    <row r="6289" spans="1:5" ht="15">
      <c r="A6289" s="223" t="s">
        <v>407</v>
      </c>
      <c r="B6289" s="223">
        <v>21</v>
      </c>
      <c r="C6289" s="223">
        <v>27</v>
      </c>
      <c r="D6289" s="223">
        <v>2</v>
      </c>
      <c r="E6289" s="223">
        <v>447953</v>
      </c>
    </row>
    <row r="6290" spans="1:5" ht="15">
      <c r="A6290" s="223" t="s">
        <v>407</v>
      </c>
      <c r="B6290" s="223">
        <v>21</v>
      </c>
      <c r="C6290" s="223">
        <v>27</v>
      </c>
      <c r="D6290" s="223">
        <v>3</v>
      </c>
      <c r="E6290" s="223">
        <v>379463</v>
      </c>
    </row>
    <row r="6291" spans="1:5" ht="15">
      <c r="A6291" s="223" t="s">
        <v>407</v>
      </c>
      <c r="B6291" s="223">
        <v>21</v>
      </c>
      <c r="C6291" s="223">
        <v>27</v>
      </c>
      <c r="D6291" s="223">
        <v>4</v>
      </c>
      <c r="E6291" s="223">
        <v>399171</v>
      </c>
    </row>
    <row r="6292" spans="1:5" ht="15">
      <c r="A6292" s="223" t="s">
        <v>407</v>
      </c>
      <c r="B6292" s="223">
        <v>21</v>
      </c>
      <c r="C6292" s="223">
        <v>27</v>
      </c>
      <c r="D6292" s="223">
        <v>5</v>
      </c>
      <c r="E6292" s="223">
        <v>40000</v>
      </c>
    </row>
    <row r="6293" spans="1:5" ht="15">
      <c r="A6293" s="223" t="s">
        <v>407</v>
      </c>
      <c r="B6293" s="223">
        <v>21</v>
      </c>
      <c r="C6293" s="223">
        <v>27</v>
      </c>
      <c r="D6293" s="223">
        <v>7</v>
      </c>
      <c r="E6293" s="223">
        <v>20000</v>
      </c>
    </row>
    <row r="6294" spans="1:5" ht="15">
      <c r="A6294" s="223" t="s">
        <v>407</v>
      </c>
      <c r="B6294" s="223">
        <v>21</v>
      </c>
      <c r="C6294" s="223">
        <v>27</v>
      </c>
      <c r="D6294" s="223">
        <v>8</v>
      </c>
      <c r="E6294" s="223">
        <v>2000</v>
      </c>
    </row>
    <row r="6295" spans="1:5" ht="15">
      <c r="A6295" s="223" t="s">
        <v>407</v>
      </c>
      <c r="B6295" s="223">
        <v>21</v>
      </c>
      <c r="C6295" s="223">
        <v>31</v>
      </c>
      <c r="D6295" s="223">
        <v>7</v>
      </c>
      <c r="E6295" s="223">
        <v>5000</v>
      </c>
    </row>
    <row r="6296" spans="1:5" ht="15">
      <c r="A6296" s="223" t="s">
        <v>407</v>
      </c>
      <c r="B6296" s="223">
        <v>24</v>
      </c>
      <c r="C6296" s="223">
        <v>26</v>
      </c>
      <c r="D6296" s="223">
        <v>2</v>
      </c>
      <c r="E6296" s="223">
        <v>69533</v>
      </c>
    </row>
    <row r="6297" spans="1:5" ht="15">
      <c r="A6297" s="223" t="s">
        <v>407</v>
      </c>
      <c r="B6297" s="223">
        <v>24</v>
      </c>
      <c r="C6297" s="223">
        <v>26</v>
      </c>
      <c r="D6297" s="223">
        <v>4</v>
      </c>
      <c r="E6297" s="223">
        <v>28310</v>
      </c>
    </row>
    <row r="6298" spans="1:5" ht="15">
      <c r="A6298" s="223" t="s">
        <v>407</v>
      </c>
      <c r="B6298" s="223">
        <v>24</v>
      </c>
      <c r="C6298" s="223">
        <v>27</v>
      </c>
      <c r="D6298" s="223">
        <v>2</v>
      </c>
      <c r="E6298" s="223">
        <v>88794</v>
      </c>
    </row>
    <row r="6299" spans="1:5" ht="15">
      <c r="A6299" s="223" t="s">
        <v>407</v>
      </c>
      <c r="B6299" s="223">
        <v>24</v>
      </c>
      <c r="C6299" s="223">
        <v>27</v>
      </c>
      <c r="D6299" s="223">
        <v>3</v>
      </c>
      <c r="E6299" s="223">
        <v>31443</v>
      </c>
    </row>
    <row r="6300" spans="1:5" ht="15">
      <c r="A6300" s="223" t="s">
        <v>407</v>
      </c>
      <c r="B6300" s="223">
        <v>24</v>
      </c>
      <c r="C6300" s="223">
        <v>27</v>
      </c>
      <c r="D6300" s="223">
        <v>4</v>
      </c>
      <c r="E6300" s="223">
        <v>56977</v>
      </c>
    </row>
  </sheetData>
  <autoFilter ref="A1:E1048572" xr:uid="{41A5A4F7-9006-447A-8B29-91BD88799702}"/>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160E4-E600-471B-8C50-8E97942F32E3}">
  <sheetPr>
    <tabColor rgb="FF92D050"/>
  </sheetPr>
  <dimension ref="A1:H308"/>
  <sheetViews>
    <sheetView workbookViewId="0">
      <selection activeCell="D326" sqref="D326"/>
    </sheetView>
  </sheetViews>
  <sheetFormatPr defaultRowHeight="12.75"/>
  <sheetData>
    <row r="1" spans="1:8">
      <c r="A1" t="s">
        <v>867</v>
      </c>
      <c r="B1">
        <v>21</v>
      </c>
      <c r="C1">
        <v>23</v>
      </c>
      <c r="D1">
        <v>24</v>
      </c>
      <c r="E1">
        <v>26</v>
      </c>
      <c r="F1">
        <v>29</v>
      </c>
      <c r="H1" s="226" t="s">
        <v>1772</v>
      </c>
    </row>
    <row r="2" spans="1:8">
      <c r="A2" t="s">
        <v>36</v>
      </c>
      <c r="B2">
        <v>136877</v>
      </c>
      <c r="D2">
        <v>22837</v>
      </c>
      <c r="H2" s="23" t="s">
        <v>1773</v>
      </c>
    </row>
    <row r="3" spans="1:8">
      <c r="A3" t="s">
        <v>167</v>
      </c>
      <c r="B3">
        <v>7050318</v>
      </c>
      <c r="C3">
        <v>200000</v>
      </c>
      <c r="D3">
        <v>1068415</v>
      </c>
    </row>
    <row r="4" spans="1:8">
      <c r="A4" t="s">
        <v>464</v>
      </c>
      <c r="B4">
        <v>300988</v>
      </c>
      <c r="D4">
        <v>70000</v>
      </c>
    </row>
    <row r="5" spans="1:8">
      <c r="A5" t="s">
        <v>378</v>
      </c>
      <c r="B5">
        <v>324338</v>
      </c>
      <c r="D5">
        <v>79057</v>
      </c>
    </row>
    <row r="6" spans="1:8">
      <c r="A6" t="s">
        <v>21</v>
      </c>
      <c r="B6">
        <v>4643761</v>
      </c>
      <c r="C6">
        <v>123344</v>
      </c>
      <c r="D6">
        <v>771915</v>
      </c>
    </row>
    <row r="7" spans="1:8">
      <c r="A7" t="s">
        <v>473</v>
      </c>
      <c r="B7">
        <v>731084</v>
      </c>
      <c r="D7">
        <v>125598</v>
      </c>
    </row>
    <row r="8" spans="1:8">
      <c r="A8" t="s">
        <v>458</v>
      </c>
      <c r="B8">
        <v>27995328</v>
      </c>
      <c r="C8">
        <v>614742</v>
      </c>
      <c r="D8">
        <v>3492410</v>
      </c>
      <c r="F8">
        <v>16467</v>
      </c>
    </row>
    <row r="9" spans="1:8">
      <c r="A9" t="s">
        <v>391</v>
      </c>
      <c r="B9">
        <v>132904</v>
      </c>
      <c r="D9">
        <v>85500</v>
      </c>
    </row>
    <row r="10" spans="1:8">
      <c r="A10" t="s">
        <v>481</v>
      </c>
      <c r="B10">
        <v>2279926</v>
      </c>
      <c r="D10">
        <v>271778</v>
      </c>
    </row>
    <row r="11" spans="1:8">
      <c r="A11" t="s">
        <v>424</v>
      </c>
      <c r="B11">
        <v>1276538</v>
      </c>
      <c r="D11">
        <v>229684</v>
      </c>
    </row>
    <row r="12" spans="1:8">
      <c r="A12" t="s">
        <v>348</v>
      </c>
      <c r="B12">
        <v>4083804</v>
      </c>
      <c r="D12">
        <v>518289</v>
      </c>
    </row>
    <row r="13" spans="1:8">
      <c r="A13" t="s">
        <v>374</v>
      </c>
      <c r="B13">
        <v>25428764</v>
      </c>
      <c r="C13">
        <v>258435</v>
      </c>
      <c r="D13">
        <v>2613406</v>
      </c>
    </row>
    <row r="14" spans="1:8">
      <c r="A14" t="s">
        <v>494</v>
      </c>
      <c r="B14">
        <v>875847</v>
      </c>
      <c r="D14">
        <v>167355</v>
      </c>
    </row>
    <row r="15" spans="1:8">
      <c r="A15" t="s">
        <v>413</v>
      </c>
      <c r="B15">
        <v>367076</v>
      </c>
      <c r="D15">
        <v>69942</v>
      </c>
    </row>
    <row r="16" spans="1:8">
      <c r="A16" t="s">
        <v>124</v>
      </c>
      <c r="B16">
        <v>1911849</v>
      </c>
      <c r="C16">
        <v>65825</v>
      </c>
      <c r="D16">
        <v>286374</v>
      </c>
    </row>
    <row r="17" spans="1:6">
      <c r="A17" t="s">
        <v>153</v>
      </c>
      <c r="B17">
        <v>2789787</v>
      </c>
      <c r="D17">
        <v>315552</v>
      </c>
    </row>
    <row r="18" spans="1:6">
      <c r="A18" t="s">
        <v>151</v>
      </c>
      <c r="B18">
        <v>1968991</v>
      </c>
      <c r="D18">
        <v>313201</v>
      </c>
    </row>
    <row r="19" spans="1:6">
      <c r="A19" t="s">
        <v>485</v>
      </c>
      <c r="B19">
        <v>14479664</v>
      </c>
      <c r="C19">
        <v>51381</v>
      </c>
      <c r="D19">
        <v>1493856</v>
      </c>
    </row>
    <row r="20" spans="1:6">
      <c r="A20" t="s">
        <v>1515</v>
      </c>
      <c r="B20">
        <v>379032</v>
      </c>
      <c r="D20">
        <v>21108</v>
      </c>
    </row>
    <row r="21" spans="1:6">
      <c r="A21" t="s">
        <v>401</v>
      </c>
      <c r="B21">
        <v>9238502</v>
      </c>
      <c r="C21">
        <v>125000</v>
      </c>
      <c r="D21">
        <v>883516</v>
      </c>
      <c r="F21">
        <v>15185</v>
      </c>
    </row>
    <row r="22" spans="1:6">
      <c r="A22" t="s">
        <v>12</v>
      </c>
      <c r="B22">
        <v>502642</v>
      </c>
      <c r="D22">
        <v>50348</v>
      </c>
    </row>
    <row r="23" spans="1:6">
      <c r="A23" t="s">
        <v>557</v>
      </c>
      <c r="B23">
        <v>5678270</v>
      </c>
      <c r="D23">
        <v>517031</v>
      </c>
    </row>
    <row r="24" spans="1:6">
      <c r="A24" t="s">
        <v>536</v>
      </c>
      <c r="B24">
        <v>1190939</v>
      </c>
      <c r="D24">
        <v>117473</v>
      </c>
      <c r="F24">
        <v>95466</v>
      </c>
    </row>
    <row r="25" spans="1:6">
      <c r="A25" t="s">
        <v>243</v>
      </c>
      <c r="B25">
        <v>6898313</v>
      </c>
      <c r="C25">
        <v>11993</v>
      </c>
      <c r="D25">
        <v>607966</v>
      </c>
    </row>
    <row r="26" spans="1:6">
      <c r="A26" t="s">
        <v>280</v>
      </c>
      <c r="B26">
        <v>54954260</v>
      </c>
      <c r="D26">
        <v>4520352</v>
      </c>
    </row>
    <row r="27" spans="1:6">
      <c r="A27" t="s">
        <v>334</v>
      </c>
      <c r="B27">
        <v>3405926</v>
      </c>
      <c r="D27">
        <v>291605</v>
      </c>
    </row>
    <row r="28" spans="1:6">
      <c r="A28" t="s">
        <v>121</v>
      </c>
      <c r="B28">
        <v>2876769</v>
      </c>
      <c r="D28">
        <v>300000</v>
      </c>
    </row>
    <row r="29" spans="1:6">
      <c r="A29" t="s">
        <v>443</v>
      </c>
      <c r="B29">
        <v>225127</v>
      </c>
    </row>
    <row r="30" spans="1:6">
      <c r="A30" t="s">
        <v>34</v>
      </c>
      <c r="B30">
        <v>7087329</v>
      </c>
      <c r="D30">
        <v>692420</v>
      </c>
    </row>
    <row r="31" spans="1:6">
      <c r="A31" t="s">
        <v>515</v>
      </c>
      <c r="B31">
        <v>53790486</v>
      </c>
      <c r="C31">
        <v>909495</v>
      </c>
      <c r="D31">
        <v>6455674</v>
      </c>
    </row>
    <row r="32" spans="1:6">
      <c r="A32" t="s">
        <v>534</v>
      </c>
      <c r="B32">
        <v>13035618</v>
      </c>
      <c r="C32">
        <v>41725</v>
      </c>
      <c r="D32">
        <v>1327724</v>
      </c>
    </row>
    <row r="33" spans="1:6">
      <c r="A33" t="s">
        <v>477</v>
      </c>
      <c r="B33">
        <v>26338196</v>
      </c>
      <c r="C33">
        <v>510362</v>
      </c>
      <c r="D33">
        <v>2470915</v>
      </c>
    </row>
    <row r="34" spans="1:6">
      <c r="A34" t="s">
        <v>376</v>
      </c>
      <c r="B34">
        <v>5782552</v>
      </c>
      <c r="C34">
        <v>42555</v>
      </c>
      <c r="D34">
        <v>933642</v>
      </c>
    </row>
    <row r="35" spans="1:6">
      <c r="A35" t="s">
        <v>228</v>
      </c>
      <c r="B35">
        <v>614025</v>
      </c>
    </row>
    <row r="36" spans="1:6">
      <c r="A36" t="s">
        <v>61</v>
      </c>
      <c r="B36">
        <v>817744</v>
      </c>
      <c r="D36">
        <v>8685</v>
      </c>
    </row>
    <row r="37" spans="1:6">
      <c r="A37" t="s">
        <v>466</v>
      </c>
      <c r="B37">
        <v>14824019</v>
      </c>
      <c r="C37">
        <v>279166</v>
      </c>
      <c r="D37">
        <v>1549584</v>
      </c>
    </row>
    <row r="38" spans="1:6">
      <c r="A38" t="s">
        <v>185</v>
      </c>
      <c r="B38">
        <v>1025573</v>
      </c>
    </row>
    <row r="39" spans="1:6">
      <c r="A39" t="s">
        <v>155</v>
      </c>
      <c r="B39">
        <v>3320284</v>
      </c>
      <c r="C39">
        <v>22000</v>
      </c>
      <c r="D39">
        <v>380268</v>
      </c>
    </row>
    <row r="40" spans="1:6">
      <c r="A40" t="s">
        <v>452</v>
      </c>
      <c r="B40">
        <v>1927147</v>
      </c>
    </row>
    <row r="41" spans="1:6">
      <c r="A41" t="s">
        <v>177</v>
      </c>
      <c r="B41">
        <v>5790587</v>
      </c>
      <c r="D41">
        <v>420599</v>
      </c>
    </row>
    <row r="42" spans="1:6">
      <c r="A42" t="s">
        <v>456</v>
      </c>
      <c r="B42">
        <v>9630143</v>
      </c>
      <c r="C42">
        <v>21230</v>
      </c>
      <c r="D42">
        <v>1035564</v>
      </c>
    </row>
    <row r="43" spans="1:6">
      <c r="A43" t="s">
        <v>528</v>
      </c>
      <c r="B43">
        <v>1010957</v>
      </c>
      <c r="D43">
        <v>176326</v>
      </c>
    </row>
    <row r="44" spans="1:6">
      <c r="A44" t="s">
        <v>169</v>
      </c>
      <c r="B44">
        <v>26744</v>
      </c>
      <c r="D44">
        <v>10881</v>
      </c>
    </row>
    <row r="45" spans="1:6">
      <c r="A45" t="s">
        <v>232</v>
      </c>
      <c r="B45">
        <v>9823685</v>
      </c>
      <c r="C45">
        <v>187933</v>
      </c>
      <c r="D45">
        <v>1119521</v>
      </c>
    </row>
    <row r="46" spans="1:6">
      <c r="A46" t="s">
        <v>492</v>
      </c>
      <c r="B46">
        <v>117064</v>
      </c>
    </row>
    <row r="47" spans="1:6">
      <c r="A47" t="s">
        <v>520</v>
      </c>
      <c r="B47">
        <v>374073</v>
      </c>
    </row>
    <row r="48" spans="1:6">
      <c r="A48" t="s">
        <v>454</v>
      </c>
      <c r="B48">
        <v>32677</v>
      </c>
      <c r="D48">
        <v>12000</v>
      </c>
      <c r="F48">
        <v>5000</v>
      </c>
    </row>
    <row r="49" spans="1:6">
      <c r="A49" t="s">
        <v>402</v>
      </c>
      <c r="B49">
        <v>344368</v>
      </c>
      <c r="D49">
        <v>60000</v>
      </c>
    </row>
    <row r="50" spans="1:6">
      <c r="A50" t="s">
        <v>159</v>
      </c>
      <c r="B50">
        <v>76194</v>
      </c>
      <c r="D50">
        <v>14000</v>
      </c>
    </row>
    <row r="51" spans="1:6">
      <c r="A51" t="s">
        <v>340</v>
      </c>
      <c r="B51">
        <v>418213</v>
      </c>
      <c r="D51">
        <v>60704</v>
      </c>
      <c r="F51">
        <v>62312</v>
      </c>
    </row>
    <row r="52" spans="1:6">
      <c r="A52" t="s">
        <v>372</v>
      </c>
      <c r="B52">
        <v>518636</v>
      </c>
      <c r="D52">
        <v>81639</v>
      </c>
    </row>
    <row r="53" spans="1:6">
      <c r="A53" t="s">
        <v>2</v>
      </c>
      <c r="B53">
        <v>30337133</v>
      </c>
      <c r="C53">
        <v>807823</v>
      </c>
      <c r="D53">
        <v>3196193</v>
      </c>
    </row>
    <row r="54" spans="1:6">
      <c r="A54" t="s">
        <v>216</v>
      </c>
      <c r="B54">
        <v>3431808</v>
      </c>
      <c r="D54">
        <v>434166</v>
      </c>
    </row>
    <row r="55" spans="1:6">
      <c r="A55" t="s">
        <v>59</v>
      </c>
      <c r="B55">
        <v>10785</v>
      </c>
    </row>
    <row r="56" spans="1:6">
      <c r="A56" t="s">
        <v>346</v>
      </c>
      <c r="B56">
        <v>76923</v>
      </c>
    </row>
    <row r="57" spans="1:6">
      <c r="A57" t="s">
        <v>399</v>
      </c>
      <c r="B57">
        <v>597377</v>
      </c>
      <c r="D57">
        <v>80253</v>
      </c>
    </row>
    <row r="58" spans="1:6">
      <c r="A58" t="s">
        <v>505</v>
      </c>
      <c r="B58">
        <v>3652667</v>
      </c>
      <c r="D58">
        <v>491262</v>
      </c>
    </row>
    <row r="59" spans="1:6">
      <c r="A59" t="s">
        <v>362</v>
      </c>
      <c r="B59">
        <v>4781028</v>
      </c>
      <c r="C59">
        <v>171000</v>
      </c>
      <c r="D59">
        <v>613691</v>
      </c>
    </row>
    <row r="60" spans="1:6">
      <c r="A60" t="s">
        <v>32</v>
      </c>
      <c r="B60">
        <v>1366885</v>
      </c>
      <c r="D60">
        <v>241716</v>
      </c>
    </row>
    <row r="61" spans="1:6">
      <c r="A61" t="s">
        <v>142</v>
      </c>
      <c r="B61">
        <v>294458</v>
      </c>
      <c r="D61">
        <v>68600</v>
      </c>
    </row>
    <row r="62" spans="1:6">
      <c r="A62" t="s">
        <v>83</v>
      </c>
      <c r="B62">
        <v>962356</v>
      </c>
      <c r="D62">
        <v>112725</v>
      </c>
    </row>
    <row r="63" spans="1:6">
      <c r="A63" t="s">
        <v>276</v>
      </c>
      <c r="B63">
        <v>2297507</v>
      </c>
      <c r="D63">
        <v>276108</v>
      </c>
    </row>
    <row r="64" spans="1:6">
      <c r="A64" t="s">
        <v>205</v>
      </c>
      <c r="B64">
        <v>17576443</v>
      </c>
      <c r="D64">
        <v>1758887</v>
      </c>
    </row>
    <row r="65" spans="1:6">
      <c r="A65" t="s">
        <v>417</v>
      </c>
      <c r="B65">
        <v>3718605</v>
      </c>
      <c r="D65">
        <v>538744</v>
      </c>
    </row>
    <row r="66" spans="1:6">
      <c r="A66" t="s">
        <v>310</v>
      </c>
      <c r="B66">
        <v>342314</v>
      </c>
      <c r="D66">
        <v>43050</v>
      </c>
    </row>
    <row r="67" spans="1:6">
      <c r="A67" t="s">
        <v>436</v>
      </c>
      <c r="B67">
        <v>1247276</v>
      </c>
      <c r="D67">
        <v>169596</v>
      </c>
      <c r="F67">
        <v>23082</v>
      </c>
    </row>
    <row r="68" spans="1:6">
      <c r="A68" t="s">
        <v>51</v>
      </c>
      <c r="B68">
        <v>6195809</v>
      </c>
      <c r="C68">
        <v>122936</v>
      </c>
      <c r="D68">
        <v>824013</v>
      </c>
    </row>
    <row r="69" spans="1:6">
      <c r="A69" t="s">
        <v>338</v>
      </c>
      <c r="B69">
        <v>2869690</v>
      </c>
      <c r="D69">
        <v>425614</v>
      </c>
    </row>
    <row r="70" spans="1:6">
      <c r="A70" t="s">
        <v>214</v>
      </c>
      <c r="B70">
        <v>1709039</v>
      </c>
      <c r="D70">
        <v>156194</v>
      </c>
      <c r="F70">
        <v>6091</v>
      </c>
    </row>
    <row r="71" spans="1:6">
      <c r="A71" t="s">
        <v>38</v>
      </c>
      <c r="B71">
        <v>697568</v>
      </c>
      <c r="D71">
        <v>60814</v>
      </c>
    </row>
    <row r="72" spans="1:6">
      <c r="A72" t="s">
        <v>73</v>
      </c>
      <c r="B72">
        <v>2844251</v>
      </c>
      <c r="C72">
        <v>52230</v>
      </c>
      <c r="D72">
        <v>291359</v>
      </c>
    </row>
    <row r="73" spans="1:6">
      <c r="A73" t="s">
        <v>409</v>
      </c>
      <c r="B73">
        <v>2797465</v>
      </c>
      <c r="D73">
        <v>399367</v>
      </c>
    </row>
    <row r="74" spans="1:6">
      <c r="A74" t="s">
        <v>252</v>
      </c>
      <c r="B74">
        <v>300000</v>
      </c>
      <c r="D74">
        <v>44750</v>
      </c>
      <c r="F74">
        <v>50000</v>
      </c>
    </row>
    <row r="75" spans="1:6">
      <c r="A75" t="s">
        <v>245</v>
      </c>
      <c r="B75">
        <v>297841</v>
      </c>
      <c r="F75">
        <v>8000</v>
      </c>
    </row>
    <row r="76" spans="1:6">
      <c r="A76" t="s">
        <v>140</v>
      </c>
      <c r="B76">
        <v>247620</v>
      </c>
      <c r="D76">
        <v>43925</v>
      </c>
    </row>
    <row r="77" spans="1:6">
      <c r="A77" t="s">
        <v>547</v>
      </c>
      <c r="B77">
        <v>135587</v>
      </c>
      <c r="D77">
        <v>14552</v>
      </c>
    </row>
    <row r="78" spans="1:6">
      <c r="A78" t="s">
        <v>173</v>
      </c>
      <c r="B78">
        <v>227950</v>
      </c>
      <c r="D78">
        <v>36794</v>
      </c>
    </row>
    <row r="79" spans="1:6">
      <c r="A79" t="s">
        <v>104</v>
      </c>
      <c r="B79">
        <v>844436</v>
      </c>
      <c r="D79">
        <v>176774</v>
      </c>
    </row>
    <row r="80" spans="1:6">
      <c r="A80" t="s">
        <v>328</v>
      </c>
      <c r="B80">
        <v>603153</v>
      </c>
      <c r="D80">
        <v>54349</v>
      </c>
      <c r="F80">
        <v>21500</v>
      </c>
    </row>
    <row r="81" spans="1:6">
      <c r="A81" t="s">
        <v>324</v>
      </c>
      <c r="B81">
        <v>18266906</v>
      </c>
      <c r="C81">
        <v>402322</v>
      </c>
      <c r="D81">
        <v>1140579</v>
      </c>
      <c r="F81">
        <v>271047</v>
      </c>
    </row>
    <row r="82" spans="1:6">
      <c r="A82" t="s">
        <v>143</v>
      </c>
      <c r="B82">
        <v>2306866</v>
      </c>
      <c r="C82">
        <v>28988</v>
      </c>
      <c r="D82">
        <v>205883</v>
      </c>
    </row>
    <row r="83" spans="1:6">
      <c r="A83" t="s">
        <v>569</v>
      </c>
      <c r="B83">
        <v>2505514</v>
      </c>
      <c r="C83">
        <v>60667</v>
      </c>
      <c r="D83">
        <v>332746</v>
      </c>
    </row>
    <row r="84" spans="1:6">
      <c r="A84" t="s">
        <v>354</v>
      </c>
      <c r="B84">
        <v>135111</v>
      </c>
      <c r="D84">
        <v>6775</v>
      </c>
      <c r="F84">
        <v>8623</v>
      </c>
    </row>
    <row r="85" spans="1:6">
      <c r="A85" t="s">
        <v>530</v>
      </c>
      <c r="B85">
        <v>109119</v>
      </c>
      <c r="D85">
        <v>20080</v>
      </c>
    </row>
    <row r="86" spans="1:6">
      <c r="A86" t="s">
        <v>67</v>
      </c>
      <c r="B86">
        <v>916078</v>
      </c>
      <c r="C86">
        <v>10674</v>
      </c>
      <c r="D86">
        <v>88551</v>
      </c>
    </row>
    <row r="87" spans="1:6">
      <c r="A87" t="s">
        <v>19</v>
      </c>
      <c r="B87">
        <v>2076180</v>
      </c>
      <c r="D87">
        <v>233066</v>
      </c>
    </row>
    <row r="88" spans="1:6">
      <c r="A88" t="s">
        <v>384</v>
      </c>
      <c r="B88">
        <v>2794207</v>
      </c>
      <c r="D88">
        <v>283794</v>
      </c>
    </row>
    <row r="89" spans="1:6">
      <c r="A89" t="s">
        <v>549</v>
      </c>
      <c r="B89">
        <v>191180063</v>
      </c>
      <c r="D89">
        <v>12679239</v>
      </c>
    </row>
    <row r="90" spans="1:6">
      <c r="A90" t="s">
        <v>517</v>
      </c>
      <c r="B90">
        <v>55691393</v>
      </c>
      <c r="D90">
        <v>4401504</v>
      </c>
    </row>
    <row r="91" spans="1:6">
      <c r="A91" t="s">
        <v>415</v>
      </c>
      <c r="B91">
        <v>9879989</v>
      </c>
      <c r="C91">
        <v>235178</v>
      </c>
      <c r="D91">
        <v>963418</v>
      </c>
    </row>
    <row r="92" spans="1:6">
      <c r="A92" t="s">
        <v>43</v>
      </c>
      <c r="B92">
        <v>9541364</v>
      </c>
      <c r="C92">
        <v>195015</v>
      </c>
      <c r="D92">
        <v>806985</v>
      </c>
    </row>
    <row r="93" spans="1:6">
      <c r="A93" t="s">
        <v>332</v>
      </c>
      <c r="B93">
        <v>48698539</v>
      </c>
      <c r="C93">
        <v>89599</v>
      </c>
      <c r="D93">
        <v>3669257</v>
      </c>
    </row>
    <row r="94" spans="1:6">
      <c r="A94" t="s">
        <v>501</v>
      </c>
      <c r="B94">
        <v>3070225</v>
      </c>
      <c r="D94">
        <v>180628</v>
      </c>
    </row>
    <row r="95" spans="1:6">
      <c r="A95" t="s">
        <v>370</v>
      </c>
      <c r="B95">
        <v>41488648</v>
      </c>
      <c r="D95">
        <v>3347729</v>
      </c>
    </row>
    <row r="96" spans="1:6">
      <c r="A96" t="s">
        <v>77</v>
      </c>
      <c r="B96">
        <v>199250</v>
      </c>
      <c r="D96">
        <v>29000</v>
      </c>
    </row>
    <row r="97" spans="1:5">
      <c r="A97" t="s">
        <v>195</v>
      </c>
      <c r="B97">
        <v>53172566</v>
      </c>
      <c r="C97">
        <v>740098</v>
      </c>
      <c r="D97">
        <v>4836703</v>
      </c>
    </row>
    <row r="98" spans="1:5">
      <c r="A98" t="s">
        <v>566</v>
      </c>
      <c r="B98">
        <v>6329302</v>
      </c>
      <c r="D98">
        <v>809767</v>
      </c>
    </row>
    <row r="99" spans="1:5">
      <c r="A99" t="s">
        <v>382</v>
      </c>
      <c r="B99">
        <v>5438262</v>
      </c>
      <c r="D99">
        <v>663164</v>
      </c>
    </row>
    <row r="100" spans="1:5">
      <c r="A100" t="s">
        <v>474</v>
      </c>
      <c r="B100">
        <v>42081418</v>
      </c>
      <c r="D100">
        <v>2649847</v>
      </c>
    </row>
    <row r="101" spans="1:5">
      <c r="A101" t="s">
        <v>254</v>
      </c>
      <c r="B101">
        <v>22714594</v>
      </c>
      <c r="C101">
        <v>19011</v>
      </c>
      <c r="D101">
        <v>2508496</v>
      </c>
    </row>
    <row r="102" spans="1:5">
      <c r="A102" t="s">
        <v>81</v>
      </c>
      <c r="B102">
        <v>13000457</v>
      </c>
      <c r="D102">
        <v>2210985</v>
      </c>
    </row>
    <row r="103" spans="1:5">
      <c r="A103" t="s">
        <v>344</v>
      </c>
      <c r="B103">
        <v>33280475</v>
      </c>
      <c r="D103">
        <v>11866512</v>
      </c>
    </row>
    <row r="104" spans="1:5">
      <c r="A104" t="s">
        <v>563</v>
      </c>
      <c r="B104">
        <v>23651559</v>
      </c>
      <c r="D104">
        <v>2214277</v>
      </c>
      <c r="E104">
        <v>1</v>
      </c>
    </row>
    <row r="105" spans="1:5">
      <c r="A105" t="s">
        <v>128</v>
      </c>
      <c r="B105">
        <v>65009564</v>
      </c>
      <c r="D105">
        <v>7789625</v>
      </c>
    </row>
    <row r="106" spans="1:5">
      <c r="A106" t="s">
        <v>460</v>
      </c>
      <c r="B106">
        <v>63504814</v>
      </c>
      <c r="C106">
        <v>300000</v>
      </c>
      <c r="D106">
        <v>5931000</v>
      </c>
    </row>
    <row r="107" spans="1:5">
      <c r="A107" t="s">
        <v>322</v>
      </c>
      <c r="B107">
        <v>66419585</v>
      </c>
      <c r="C107">
        <v>662675</v>
      </c>
      <c r="D107">
        <v>4960540</v>
      </c>
    </row>
    <row r="108" spans="1:5">
      <c r="A108" t="s">
        <v>933</v>
      </c>
      <c r="B108">
        <v>752668</v>
      </c>
      <c r="D108">
        <v>53075</v>
      </c>
    </row>
    <row r="109" spans="1:5">
      <c r="A109" t="s">
        <v>954</v>
      </c>
      <c r="B109">
        <v>1107717</v>
      </c>
      <c r="D109">
        <v>208835</v>
      </c>
    </row>
    <row r="110" spans="1:5">
      <c r="A110" t="s">
        <v>935</v>
      </c>
      <c r="B110">
        <v>315177</v>
      </c>
      <c r="C110">
        <v>80399</v>
      </c>
    </row>
    <row r="111" spans="1:5">
      <c r="A111" t="s">
        <v>961</v>
      </c>
      <c r="B111">
        <v>630919</v>
      </c>
      <c r="D111">
        <v>48329</v>
      </c>
    </row>
    <row r="112" spans="1:5">
      <c r="A112" t="s">
        <v>964</v>
      </c>
      <c r="B112">
        <v>741777</v>
      </c>
      <c r="D112">
        <v>82740</v>
      </c>
    </row>
    <row r="113" spans="1:6">
      <c r="A113" t="s">
        <v>1051</v>
      </c>
      <c r="B113">
        <v>461079</v>
      </c>
      <c r="D113">
        <v>47844</v>
      </c>
    </row>
    <row r="114" spans="1:6">
      <c r="A114" t="s">
        <v>1161</v>
      </c>
      <c r="B114">
        <v>286337</v>
      </c>
      <c r="D114">
        <v>32883</v>
      </c>
    </row>
    <row r="115" spans="1:6">
      <c r="A115" t="s">
        <v>524</v>
      </c>
      <c r="B115">
        <v>11721276</v>
      </c>
      <c r="C115">
        <v>236103</v>
      </c>
      <c r="D115">
        <v>1189067</v>
      </c>
      <c r="F115">
        <v>20000</v>
      </c>
    </row>
    <row r="116" spans="1:6">
      <c r="A116" t="s">
        <v>476</v>
      </c>
      <c r="B116">
        <v>9569219</v>
      </c>
      <c r="D116">
        <v>783165</v>
      </c>
    </row>
    <row r="117" spans="1:6">
      <c r="A117" t="s">
        <v>48</v>
      </c>
      <c r="B117">
        <v>12783695</v>
      </c>
      <c r="D117">
        <v>1838905</v>
      </c>
      <c r="F117">
        <v>501089</v>
      </c>
    </row>
    <row r="118" spans="1:6">
      <c r="A118" t="s">
        <v>281</v>
      </c>
      <c r="B118">
        <v>26979292</v>
      </c>
      <c r="C118">
        <v>555882</v>
      </c>
      <c r="D118">
        <v>2536417</v>
      </c>
      <c r="F118">
        <v>700000</v>
      </c>
    </row>
    <row r="119" spans="1:6">
      <c r="A119" t="s">
        <v>567</v>
      </c>
      <c r="B119">
        <v>23072172</v>
      </c>
      <c r="D119">
        <v>4135907</v>
      </c>
    </row>
    <row r="120" spans="1:6">
      <c r="A120" t="s">
        <v>1050</v>
      </c>
      <c r="B120">
        <v>565092</v>
      </c>
      <c r="D120">
        <v>50620</v>
      </c>
    </row>
    <row r="121" spans="1:6">
      <c r="A121" t="s">
        <v>406</v>
      </c>
      <c r="B121">
        <v>18000</v>
      </c>
    </row>
    <row r="122" spans="1:6">
      <c r="A122" t="s">
        <v>234</v>
      </c>
      <c r="B122">
        <v>161897</v>
      </c>
      <c r="D122">
        <v>62675</v>
      </c>
    </row>
    <row r="123" spans="1:6">
      <c r="A123" t="s">
        <v>260</v>
      </c>
      <c r="B123">
        <v>407008</v>
      </c>
      <c r="D123">
        <v>79672</v>
      </c>
    </row>
    <row r="124" spans="1:6">
      <c r="A124" t="s">
        <v>240</v>
      </c>
      <c r="B124">
        <v>5401132</v>
      </c>
      <c r="D124">
        <v>736800</v>
      </c>
    </row>
    <row r="125" spans="1:6">
      <c r="A125" t="s">
        <v>482</v>
      </c>
      <c r="B125">
        <v>851270</v>
      </c>
      <c r="D125">
        <v>170517</v>
      </c>
    </row>
    <row r="126" spans="1:6">
      <c r="A126" t="s">
        <v>23</v>
      </c>
      <c r="B126">
        <v>1264848</v>
      </c>
      <c r="D126">
        <v>273638</v>
      </c>
    </row>
    <row r="127" spans="1:6">
      <c r="A127" t="s">
        <v>175</v>
      </c>
      <c r="B127">
        <v>80957</v>
      </c>
    </row>
    <row r="128" spans="1:6">
      <c r="A128" t="s">
        <v>203</v>
      </c>
      <c r="B128">
        <v>200000</v>
      </c>
    </row>
    <row r="129" spans="1:4">
      <c r="A129" t="s">
        <v>157</v>
      </c>
      <c r="B129">
        <v>72737</v>
      </c>
    </row>
    <row r="130" spans="1:4">
      <c r="A130" t="s">
        <v>187</v>
      </c>
      <c r="B130">
        <v>217751</v>
      </c>
    </row>
    <row r="131" spans="1:4">
      <c r="A131" t="s">
        <v>432</v>
      </c>
      <c r="B131">
        <v>71108</v>
      </c>
    </row>
    <row r="132" spans="1:4">
      <c r="A132" t="s">
        <v>293</v>
      </c>
      <c r="B132">
        <v>144441</v>
      </c>
    </row>
    <row r="133" spans="1:4">
      <c r="A133" t="s">
        <v>272</v>
      </c>
      <c r="B133">
        <v>46854</v>
      </c>
    </row>
    <row r="134" spans="1:4">
      <c r="A134" t="s">
        <v>434</v>
      </c>
      <c r="B134">
        <v>3420496</v>
      </c>
    </row>
    <row r="135" spans="1:4">
      <c r="A135" t="s">
        <v>304</v>
      </c>
      <c r="B135">
        <v>1646615</v>
      </c>
    </row>
    <row r="136" spans="1:4">
      <c r="A136" t="s">
        <v>486</v>
      </c>
      <c r="B136">
        <v>353455</v>
      </c>
    </row>
    <row r="137" spans="1:4">
      <c r="A137" t="s">
        <v>94</v>
      </c>
      <c r="B137">
        <v>1466219</v>
      </c>
      <c r="C137">
        <v>30850</v>
      </c>
      <c r="D137">
        <v>167195</v>
      </c>
    </row>
    <row r="138" spans="1:4">
      <c r="A138" t="s">
        <v>419</v>
      </c>
      <c r="B138">
        <v>124073</v>
      </c>
      <c r="D138">
        <v>9685</v>
      </c>
    </row>
    <row r="139" spans="1:4">
      <c r="A139" t="s">
        <v>207</v>
      </c>
      <c r="B139">
        <v>1090547</v>
      </c>
      <c r="D139">
        <v>123000</v>
      </c>
    </row>
    <row r="140" spans="1:4">
      <c r="A140" t="s">
        <v>75</v>
      </c>
      <c r="B140">
        <v>870834</v>
      </c>
      <c r="D140">
        <v>99861</v>
      </c>
    </row>
    <row r="141" spans="1:4">
      <c r="A141" t="s">
        <v>53</v>
      </c>
      <c r="B141">
        <v>953301</v>
      </c>
      <c r="D141">
        <v>124779</v>
      </c>
    </row>
    <row r="142" spans="1:4">
      <c r="A142" t="s">
        <v>312</v>
      </c>
      <c r="B142">
        <v>1435755</v>
      </c>
      <c r="D142">
        <v>167553</v>
      </c>
    </row>
    <row r="143" spans="1:4">
      <c r="A143" t="s">
        <v>16</v>
      </c>
      <c r="B143">
        <v>293764</v>
      </c>
      <c r="D143">
        <v>29184</v>
      </c>
    </row>
    <row r="144" spans="1:4">
      <c r="A144" t="s">
        <v>262</v>
      </c>
      <c r="B144">
        <v>2079531</v>
      </c>
      <c r="D144">
        <v>260329</v>
      </c>
    </row>
    <row r="145" spans="1:4">
      <c r="A145" t="s">
        <v>114</v>
      </c>
      <c r="B145">
        <v>1501916</v>
      </c>
      <c r="D145">
        <v>185000</v>
      </c>
    </row>
    <row r="146" spans="1:4">
      <c r="A146" t="s">
        <v>393</v>
      </c>
      <c r="B146">
        <v>537928</v>
      </c>
      <c r="D146">
        <v>63311</v>
      </c>
    </row>
    <row r="147" spans="1:4">
      <c r="A147" t="s">
        <v>287</v>
      </c>
      <c r="B147">
        <v>6551256</v>
      </c>
      <c r="D147">
        <v>610955</v>
      </c>
    </row>
    <row r="148" spans="1:4">
      <c r="A148" t="s">
        <v>300</v>
      </c>
      <c r="B148">
        <v>619839</v>
      </c>
      <c r="D148">
        <v>153983</v>
      </c>
    </row>
    <row r="149" spans="1:4">
      <c r="A149" t="s">
        <v>285</v>
      </c>
      <c r="B149">
        <v>7215161</v>
      </c>
      <c r="D149">
        <v>854497</v>
      </c>
    </row>
    <row r="150" spans="1:4">
      <c r="A150" t="s">
        <v>541</v>
      </c>
      <c r="B150">
        <v>149673</v>
      </c>
      <c r="D150">
        <v>20473</v>
      </c>
    </row>
    <row r="151" spans="1:4">
      <c r="A151" t="s">
        <v>368</v>
      </c>
      <c r="B151">
        <v>856437</v>
      </c>
      <c r="D151">
        <v>152700</v>
      </c>
    </row>
    <row r="152" spans="1:4">
      <c r="A152" t="s">
        <v>55</v>
      </c>
      <c r="B152">
        <v>182245</v>
      </c>
      <c r="D152">
        <v>29500</v>
      </c>
    </row>
    <row r="153" spans="1:4">
      <c r="A153" t="s">
        <v>145</v>
      </c>
      <c r="B153">
        <v>188727</v>
      </c>
      <c r="D153">
        <v>18930</v>
      </c>
    </row>
    <row r="154" spans="1:4">
      <c r="A154" t="s">
        <v>106</v>
      </c>
      <c r="B154">
        <v>375981</v>
      </c>
      <c r="D154">
        <v>54027</v>
      </c>
    </row>
    <row r="155" spans="1:4">
      <c r="A155" t="s">
        <v>306</v>
      </c>
      <c r="B155">
        <v>482263</v>
      </c>
      <c r="D155">
        <v>50000</v>
      </c>
    </row>
    <row r="156" spans="1:4">
      <c r="A156" t="s">
        <v>447</v>
      </c>
      <c r="B156">
        <v>254397</v>
      </c>
      <c r="D156">
        <v>26477</v>
      </c>
    </row>
    <row r="157" spans="1:4">
      <c r="A157" t="s">
        <v>226</v>
      </c>
      <c r="B157">
        <v>824638</v>
      </c>
      <c r="D157">
        <v>144442</v>
      </c>
    </row>
    <row r="158" spans="1:4">
      <c r="A158" t="s">
        <v>571</v>
      </c>
      <c r="B158">
        <v>318307</v>
      </c>
      <c r="D158">
        <v>42000</v>
      </c>
    </row>
    <row r="159" spans="1:4">
      <c r="A159" t="s">
        <v>439</v>
      </c>
      <c r="B159">
        <v>340637</v>
      </c>
      <c r="D159">
        <v>39171</v>
      </c>
    </row>
    <row r="160" spans="1:4">
      <c r="A160" t="s">
        <v>561</v>
      </c>
      <c r="B160">
        <v>8707805</v>
      </c>
      <c r="D160">
        <v>995768</v>
      </c>
    </row>
    <row r="161" spans="1:6">
      <c r="A161" t="s">
        <v>496</v>
      </c>
      <c r="B161">
        <v>2474915</v>
      </c>
      <c r="D161">
        <v>216723</v>
      </c>
    </row>
    <row r="162" spans="1:6">
      <c r="A162" t="s">
        <v>397</v>
      </c>
      <c r="B162">
        <v>2019954</v>
      </c>
      <c r="D162">
        <v>176984</v>
      </c>
    </row>
    <row r="163" spans="1:6">
      <c r="A163" t="s">
        <v>50</v>
      </c>
      <c r="B163">
        <v>3791732</v>
      </c>
      <c r="C163">
        <v>52381</v>
      </c>
      <c r="D163">
        <v>499393</v>
      </c>
    </row>
    <row r="164" spans="1:6">
      <c r="A164" t="s">
        <v>336</v>
      </c>
      <c r="B164">
        <v>693820</v>
      </c>
      <c r="D164">
        <v>125119</v>
      </c>
    </row>
    <row r="165" spans="1:6">
      <c r="A165" t="s">
        <v>97</v>
      </c>
      <c r="B165">
        <v>203716</v>
      </c>
      <c r="D165">
        <v>62311</v>
      </c>
      <c r="F165">
        <v>57296</v>
      </c>
    </row>
    <row r="166" spans="1:6">
      <c r="A166" t="s">
        <v>112</v>
      </c>
      <c r="B166">
        <v>9208414</v>
      </c>
      <c r="D166">
        <v>1157914</v>
      </c>
    </row>
    <row r="167" spans="1:6">
      <c r="A167" t="s">
        <v>108</v>
      </c>
      <c r="B167">
        <v>1848650</v>
      </c>
      <c r="D167">
        <v>225100</v>
      </c>
    </row>
    <row r="168" spans="1:6">
      <c r="A168" t="s">
        <v>526</v>
      </c>
      <c r="B168">
        <v>1277115</v>
      </c>
      <c r="C168">
        <v>57968</v>
      </c>
      <c r="D168">
        <v>238652</v>
      </c>
    </row>
    <row r="169" spans="1:6">
      <c r="A169" t="s">
        <v>388</v>
      </c>
      <c r="B169">
        <v>584672</v>
      </c>
      <c r="D169">
        <v>55121</v>
      </c>
    </row>
    <row r="170" spans="1:6">
      <c r="A170" t="s">
        <v>47</v>
      </c>
      <c r="B170">
        <v>1261184</v>
      </c>
    </row>
    <row r="171" spans="1:6">
      <c r="A171" t="s">
        <v>264</v>
      </c>
      <c r="B171">
        <v>1307723</v>
      </c>
      <c r="C171">
        <v>55609</v>
      </c>
      <c r="D171">
        <v>239342</v>
      </c>
    </row>
    <row r="172" spans="1:6">
      <c r="A172" t="s">
        <v>163</v>
      </c>
      <c r="B172">
        <v>854966</v>
      </c>
      <c r="D172">
        <v>147917</v>
      </c>
    </row>
    <row r="173" spans="1:6">
      <c r="A173" t="s">
        <v>330</v>
      </c>
      <c r="B173">
        <v>1703247</v>
      </c>
    </row>
    <row r="174" spans="1:6">
      <c r="A174" t="s">
        <v>366</v>
      </c>
      <c r="D174">
        <v>131050</v>
      </c>
    </row>
    <row r="175" spans="1:6">
      <c r="A175" t="s">
        <v>85</v>
      </c>
      <c r="B175">
        <v>902756</v>
      </c>
      <c r="D175">
        <v>137288</v>
      </c>
    </row>
    <row r="176" spans="1:6">
      <c r="A176" t="s">
        <v>96</v>
      </c>
      <c r="B176">
        <v>408260</v>
      </c>
    </row>
    <row r="177" spans="1:6">
      <c r="A177" t="s">
        <v>308</v>
      </c>
      <c r="B177">
        <v>683931</v>
      </c>
      <c r="D177">
        <v>80371</v>
      </c>
    </row>
    <row r="178" spans="1:6">
      <c r="A178" t="s">
        <v>316</v>
      </c>
      <c r="B178">
        <v>156949</v>
      </c>
      <c r="D178">
        <v>11000</v>
      </c>
    </row>
    <row r="179" spans="1:6">
      <c r="A179" t="s">
        <v>99</v>
      </c>
      <c r="B179">
        <v>1941693</v>
      </c>
      <c r="D179">
        <v>285142</v>
      </c>
    </row>
    <row r="180" spans="1:6">
      <c r="A180" t="s">
        <v>404</v>
      </c>
      <c r="B180">
        <v>447233</v>
      </c>
      <c r="D180">
        <v>82923</v>
      </c>
      <c r="F180">
        <v>10000</v>
      </c>
    </row>
    <row r="181" spans="1:6">
      <c r="A181" t="s">
        <v>555</v>
      </c>
      <c r="B181">
        <v>446903</v>
      </c>
      <c r="D181">
        <v>76842</v>
      </c>
    </row>
    <row r="182" spans="1:6">
      <c r="A182" t="s">
        <v>65</v>
      </c>
      <c r="B182">
        <v>6526924</v>
      </c>
      <c r="D182">
        <v>933347</v>
      </c>
    </row>
    <row r="183" spans="1:6">
      <c r="A183" t="s">
        <v>352</v>
      </c>
      <c r="B183">
        <v>47299877</v>
      </c>
      <c r="C183">
        <v>563149</v>
      </c>
      <c r="D183">
        <v>3932098</v>
      </c>
    </row>
    <row r="184" spans="1:6">
      <c r="A184" t="s">
        <v>250</v>
      </c>
      <c r="B184">
        <v>54947640</v>
      </c>
      <c r="C184">
        <v>1231646</v>
      </c>
      <c r="D184">
        <v>7993098</v>
      </c>
    </row>
    <row r="185" spans="1:6">
      <c r="A185" t="s">
        <v>538</v>
      </c>
      <c r="B185">
        <v>324806</v>
      </c>
      <c r="D185">
        <v>45659</v>
      </c>
    </row>
    <row r="186" spans="1:6">
      <c r="A186" t="s">
        <v>193</v>
      </c>
      <c r="B186">
        <v>11703416</v>
      </c>
      <c r="D186">
        <v>1212357</v>
      </c>
      <c r="F186">
        <v>10000</v>
      </c>
    </row>
    <row r="187" spans="1:6">
      <c r="A187" t="s">
        <v>246</v>
      </c>
      <c r="B187">
        <v>21775755</v>
      </c>
      <c r="C187">
        <v>155796</v>
      </c>
      <c r="D187">
        <v>1776536</v>
      </c>
    </row>
    <row r="188" spans="1:6">
      <c r="A188" t="s">
        <v>357</v>
      </c>
      <c r="B188">
        <v>3975064</v>
      </c>
      <c r="D188">
        <v>260938</v>
      </c>
    </row>
    <row r="189" spans="1:6">
      <c r="A189" t="s">
        <v>165</v>
      </c>
      <c r="B189">
        <v>7117545</v>
      </c>
      <c r="D189">
        <v>423094</v>
      </c>
    </row>
    <row r="190" spans="1:6">
      <c r="A190" t="s">
        <v>25</v>
      </c>
      <c r="B190">
        <v>34982747</v>
      </c>
      <c r="D190">
        <v>2654733</v>
      </c>
      <c r="E190">
        <v>1995924</v>
      </c>
      <c r="F190">
        <v>1000000</v>
      </c>
    </row>
    <row r="191" spans="1:6">
      <c r="A191" t="s">
        <v>395</v>
      </c>
      <c r="B191">
        <v>20586504</v>
      </c>
      <c r="D191">
        <v>1832035</v>
      </c>
    </row>
    <row r="192" spans="1:6">
      <c r="A192" t="s">
        <v>426</v>
      </c>
      <c r="B192">
        <v>21304476</v>
      </c>
      <c r="D192">
        <v>2052157</v>
      </c>
    </row>
    <row r="193" spans="1:6">
      <c r="A193" t="s">
        <v>201</v>
      </c>
      <c r="B193">
        <v>41180593</v>
      </c>
      <c r="D193">
        <v>3906570</v>
      </c>
      <c r="F193">
        <v>65413</v>
      </c>
    </row>
    <row r="194" spans="1:6">
      <c r="A194" t="s">
        <v>236</v>
      </c>
      <c r="B194">
        <v>3294568</v>
      </c>
      <c r="D194">
        <v>386172</v>
      </c>
    </row>
    <row r="195" spans="1:6">
      <c r="A195" t="s">
        <v>302</v>
      </c>
      <c r="B195">
        <v>8282726</v>
      </c>
      <c r="D195">
        <v>797791</v>
      </c>
      <c r="E195">
        <v>174555</v>
      </c>
    </row>
    <row r="196" spans="1:6">
      <c r="A196" t="s">
        <v>422</v>
      </c>
      <c r="B196">
        <v>8685610</v>
      </c>
      <c r="C196">
        <v>49372</v>
      </c>
      <c r="D196">
        <v>774872</v>
      </c>
    </row>
    <row r="197" spans="1:6">
      <c r="A197" t="s">
        <v>1509</v>
      </c>
      <c r="B197">
        <v>132841</v>
      </c>
      <c r="D197">
        <v>14437</v>
      </c>
    </row>
    <row r="198" spans="1:6">
      <c r="A198" t="s">
        <v>934</v>
      </c>
      <c r="B198">
        <v>437203</v>
      </c>
      <c r="D198">
        <v>41341</v>
      </c>
    </row>
    <row r="199" spans="1:6">
      <c r="A199" t="s">
        <v>118</v>
      </c>
      <c r="B199">
        <v>1640114</v>
      </c>
      <c r="D199">
        <v>159082</v>
      </c>
    </row>
    <row r="200" spans="1:6">
      <c r="A200" t="s">
        <v>470</v>
      </c>
      <c r="B200">
        <v>698920</v>
      </c>
      <c r="D200">
        <v>33996</v>
      </c>
    </row>
    <row r="201" spans="1:6">
      <c r="A201" t="s">
        <v>546</v>
      </c>
      <c r="B201">
        <v>2169824</v>
      </c>
      <c r="D201">
        <v>179119</v>
      </c>
    </row>
    <row r="202" spans="1:6">
      <c r="A202" t="s">
        <v>136</v>
      </c>
      <c r="B202">
        <v>1651413</v>
      </c>
      <c r="D202">
        <v>139068</v>
      </c>
    </row>
    <row r="203" spans="1:6">
      <c r="A203" t="s">
        <v>532</v>
      </c>
      <c r="B203">
        <v>8357958</v>
      </c>
      <c r="C203">
        <v>164830</v>
      </c>
      <c r="D203">
        <v>996200</v>
      </c>
    </row>
    <row r="204" spans="1:6">
      <c r="A204" t="s">
        <v>551</v>
      </c>
      <c r="B204">
        <v>12576459</v>
      </c>
      <c r="C204">
        <v>36573</v>
      </c>
      <c r="D204">
        <v>1697197</v>
      </c>
    </row>
    <row r="205" spans="1:6">
      <c r="A205" t="s">
        <v>182</v>
      </c>
      <c r="B205">
        <v>5125839</v>
      </c>
      <c r="D205">
        <v>518937</v>
      </c>
    </row>
    <row r="206" spans="1:6">
      <c r="A206" t="s">
        <v>295</v>
      </c>
      <c r="B206">
        <v>1250000</v>
      </c>
      <c r="D206">
        <v>131000</v>
      </c>
      <c r="F206">
        <v>68000</v>
      </c>
    </row>
    <row r="207" spans="1:6">
      <c r="A207" t="s">
        <v>138</v>
      </c>
      <c r="B207">
        <v>757886</v>
      </c>
      <c r="D207">
        <v>76601</v>
      </c>
    </row>
    <row r="208" spans="1:6">
      <c r="A208" t="s">
        <v>89</v>
      </c>
      <c r="B208">
        <v>17599711</v>
      </c>
      <c r="C208">
        <v>360400</v>
      </c>
      <c r="D208">
        <v>1360322</v>
      </c>
    </row>
    <row r="209" spans="1:6">
      <c r="A209" t="s">
        <v>565</v>
      </c>
      <c r="B209">
        <v>87738</v>
      </c>
    </row>
    <row r="210" spans="1:6">
      <c r="A210" t="s">
        <v>87</v>
      </c>
      <c r="B210">
        <v>52093</v>
      </c>
    </row>
    <row r="211" spans="1:6">
      <c r="A211" t="s">
        <v>69</v>
      </c>
      <c r="B211">
        <v>83401</v>
      </c>
    </row>
    <row r="212" spans="1:6">
      <c r="A212" t="s">
        <v>5</v>
      </c>
      <c r="B212">
        <v>1300000</v>
      </c>
    </row>
    <row r="213" spans="1:6">
      <c r="A213" t="s">
        <v>513</v>
      </c>
      <c r="B213">
        <v>50885360</v>
      </c>
      <c r="C213">
        <v>484766</v>
      </c>
      <c r="D213">
        <v>4374466</v>
      </c>
    </row>
    <row r="214" spans="1:6">
      <c r="A214" t="s">
        <v>126</v>
      </c>
      <c r="B214">
        <v>23116392</v>
      </c>
      <c r="D214">
        <v>3439834</v>
      </c>
    </row>
    <row r="215" spans="1:6">
      <c r="A215" t="s">
        <v>90</v>
      </c>
      <c r="B215">
        <v>43187844</v>
      </c>
      <c r="D215">
        <v>3208918</v>
      </c>
    </row>
    <row r="216" spans="1:6">
      <c r="A216" t="s">
        <v>238</v>
      </c>
      <c r="B216">
        <v>59114890</v>
      </c>
      <c r="D216">
        <v>4093946</v>
      </c>
    </row>
    <row r="217" spans="1:6">
      <c r="A217" t="s">
        <v>471</v>
      </c>
      <c r="B217">
        <v>13838134</v>
      </c>
      <c r="C217">
        <v>213137</v>
      </c>
      <c r="D217">
        <v>1045340</v>
      </c>
    </row>
    <row r="218" spans="1:6">
      <c r="A218" t="s">
        <v>499</v>
      </c>
      <c r="B218">
        <v>23879784</v>
      </c>
      <c r="C218">
        <v>174561</v>
      </c>
      <c r="D218">
        <v>3178559</v>
      </c>
      <c r="F218">
        <v>187073</v>
      </c>
    </row>
    <row r="219" spans="1:6">
      <c r="A219" t="s">
        <v>342</v>
      </c>
      <c r="B219">
        <v>43077</v>
      </c>
      <c r="D219">
        <v>8596</v>
      </c>
    </row>
    <row r="220" spans="1:6">
      <c r="A220" t="s">
        <v>71</v>
      </c>
      <c r="B220">
        <v>12415193</v>
      </c>
      <c r="C220">
        <v>148707</v>
      </c>
      <c r="D220">
        <v>1218559</v>
      </c>
    </row>
    <row r="221" spans="1:6">
      <c r="A221" t="s">
        <v>79</v>
      </c>
      <c r="B221">
        <v>24257832</v>
      </c>
      <c r="C221">
        <v>256399</v>
      </c>
      <c r="D221">
        <v>1903502</v>
      </c>
    </row>
    <row r="222" spans="1:6">
      <c r="A222" t="s">
        <v>130</v>
      </c>
      <c r="B222">
        <v>5770661</v>
      </c>
      <c r="D222">
        <v>692877</v>
      </c>
    </row>
    <row r="223" spans="1:6">
      <c r="A223" t="s">
        <v>7</v>
      </c>
      <c r="B223">
        <v>4697272</v>
      </c>
      <c r="D223">
        <v>459342</v>
      </c>
    </row>
    <row r="224" spans="1:6">
      <c r="A224" t="s">
        <v>224</v>
      </c>
      <c r="B224">
        <v>765520</v>
      </c>
      <c r="C224">
        <v>22210</v>
      </c>
      <c r="D224">
        <v>88969</v>
      </c>
    </row>
    <row r="225" spans="1:6">
      <c r="A225" t="s">
        <v>313</v>
      </c>
      <c r="B225">
        <v>6371102</v>
      </c>
      <c r="D225">
        <v>442448</v>
      </c>
    </row>
    <row r="226" spans="1:6">
      <c r="A226" t="s">
        <v>57</v>
      </c>
      <c r="B226">
        <v>14206206</v>
      </c>
      <c r="D226">
        <v>896513</v>
      </c>
    </row>
    <row r="227" spans="1:6">
      <c r="A227" t="s">
        <v>573</v>
      </c>
      <c r="B227">
        <v>60229436</v>
      </c>
      <c r="D227">
        <v>6576960</v>
      </c>
    </row>
    <row r="228" spans="1:6">
      <c r="A228" t="s">
        <v>119</v>
      </c>
      <c r="B228">
        <v>84915</v>
      </c>
      <c r="D228">
        <v>42272</v>
      </c>
    </row>
    <row r="229" spans="1:6">
      <c r="A229" t="s">
        <v>441</v>
      </c>
      <c r="B229">
        <v>43036</v>
      </c>
      <c r="D229">
        <v>7418</v>
      </c>
    </row>
    <row r="230" spans="1:6">
      <c r="A230" t="s">
        <v>101</v>
      </c>
      <c r="B230">
        <v>2157732</v>
      </c>
      <c r="D230">
        <v>327224</v>
      </c>
    </row>
    <row r="231" spans="1:6">
      <c r="A231" t="s">
        <v>41</v>
      </c>
      <c r="B231">
        <v>3004993</v>
      </c>
      <c r="D231">
        <v>416793</v>
      </c>
      <c r="E231">
        <v>196803</v>
      </c>
      <c r="F231">
        <v>119854</v>
      </c>
    </row>
    <row r="232" spans="1:6">
      <c r="A232" t="s">
        <v>39</v>
      </c>
      <c r="B232">
        <v>19391891</v>
      </c>
      <c r="D232">
        <v>1859903</v>
      </c>
    </row>
    <row r="233" spans="1:6">
      <c r="A233" t="s">
        <v>283</v>
      </c>
      <c r="B233">
        <v>31340318</v>
      </c>
      <c r="D233">
        <v>2763017</v>
      </c>
    </row>
    <row r="234" spans="1:6">
      <c r="A234" t="s">
        <v>428</v>
      </c>
      <c r="B234">
        <v>1353597</v>
      </c>
      <c r="D234">
        <v>163494</v>
      </c>
    </row>
    <row r="235" spans="1:6">
      <c r="A235" t="s">
        <v>289</v>
      </c>
      <c r="B235">
        <v>10910402</v>
      </c>
      <c r="D235">
        <v>1040132</v>
      </c>
    </row>
    <row r="236" spans="1:6">
      <c r="A236" t="s">
        <v>230</v>
      </c>
      <c r="B236">
        <v>8558165</v>
      </c>
      <c r="C236">
        <v>40078</v>
      </c>
      <c r="D236">
        <v>1001834</v>
      </c>
    </row>
    <row r="237" spans="1:6">
      <c r="A237" t="s">
        <v>462</v>
      </c>
      <c r="B237">
        <v>767096</v>
      </c>
      <c r="C237">
        <v>38113</v>
      </c>
      <c r="D237">
        <v>154211</v>
      </c>
    </row>
    <row r="238" spans="1:6">
      <c r="A238" t="s">
        <v>298</v>
      </c>
      <c r="B238">
        <v>5826397</v>
      </c>
      <c r="C238">
        <v>174722</v>
      </c>
      <c r="D238">
        <v>728051</v>
      </c>
    </row>
    <row r="239" spans="1:6">
      <c r="A239" t="s">
        <v>355</v>
      </c>
      <c r="B239">
        <v>3553618</v>
      </c>
      <c r="C239">
        <v>80000</v>
      </c>
      <c r="D239">
        <v>524558</v>
      </c>
    </row>
    <row r="240" spans="1:6">
      <c r="A240" t="s">
        <v>380</v>
      </c>
      <c r="B240">
        <v>2236910</v>
      </c>
      <c r="D240">
        <v>386787</v>
      </c>
    </row>
    <row r="241" spans="1:6">
      <c r="A241" t="s">
        <v>937</v>
      </c>
      <c r="B241">
        <v>773623</v>
      </c>
      <c r="D241">
        <v>89274</v>
      </c>
    </row>
    <row r="242" spans="1:6">
      <c r="A242" t="s">
        <v>1052</v>
      </c>
      <c r="B242">
        <v>94917</v>
      </c>
      <c r="D242">
        <v>7023</v>
      </c>
    </row>
    <row r="243" spans="1:6">
      <c r="A243" t="s">
        <v>936</v>
      </c>
      <c r="B243">
        <v>687477</v>
      </c>
      <c r="D243">
        <v>106124</v>
      </c>
    </row>
    <row r="244" spans="1:6">
      <c r="A244" t="s">
        <v>116</v>
      </c>
      <c r="B244">
        <v>56603</v>
      </c>
      <c r="D244">
        <v>13614</v>
      </c>
    </row>
    <row r="245" spans="1:6">
      <c r="A245" t="s">
        <v>291</v>
      </c>
      <c r="B245">
        <v>1331120</v>
      </c>
      <c r="C245">
        <v>13169</v>
      </c>
      <c r="D245">
        <v>187039</v>
      </c>
    </row>
    <row r="246" spans="1:6">
      <c r="A246" t="s">
        <v>522</v>
      </c>
      <c r="B246">
        <v>722567</v>
      </c>
      <c r="D246">
        <v>116200</v>
      </c>
      <c r="F246">
        <v>68710</v>
      </c>
    </row>
    <row r="247" spans="1:6">
      <c r="A247" t="s">
        <v>278</v>
      </c>
      <c r="B247">
        <v>1246343</v>
      </c>
      <c r="D247">
        <v>179998</v>
      </c>
    </row>
    <row r="248" spans="1:6">
      <c r="A248" t="s">
        <v>134</v>
      </c>
      <c r="B248">
        <v>2763702</v>
      </c>
      <c r="D248">
        <v>421367</v>
      </c>
    </row>
    <row r="249" spans="1:6">
      <c r="A249" t="s">
        <v>468</v>
      </c>
      <c r="B249">
        <v>272766</v>
      </c>
      <c r="D249">
        <v>52885</v>
      </c>
    </row>
    <row r="250" spans="1:6">
      <c r="A250" t="s">
        <v>9</v>
      </c>
      <c r="B250">
        <v>92341</v>
      </c>
      <c r="D250">
        <v>17197</v>
      </c>
    </row>
    <row r="251" spans="1:6">
      <c r="A251" t="s">
        <v>516</v>
      </c>
      <c r="B251">
        <v>34897</v>
      </c>
      <c r="D251">
        <v>14605</v>
      </c>
    </row>
    <row r="252" spans="1:6">
      <c r="A252" t="s">
        <v>150</v>
      </c>
      <c r="B252">
        <v>204858</v>
      </c>
      <c r="D252">
        <v>28849</v>
      </c>
      <c r="F252">
        <v>37774</v>
      </c>
    </row>
    <row r="253" spans="1:6">
      <c r="A253" t="s">
        <v>497</v>
      </c>
      <c r="B253">
        <v>722458</v>
      </c>
      <c r="D253">
        <v>129138</v>
      </c>
      <c r="F253">
        <v>1000</v>
      </c>
    </row>
    <row r="254" spans="1:6">
      <c r="A254" t="s">
        <v>320</v>
      </c>
      <c r="B254">
        <v>321280</v>
      </c>
      <c r="D254">
        <v>56084</v>
      </c>
    </row>
    <row r="255" spans="1:6">
      <c r="A255" t="s">
        <v>479</v>
      </c>
      <c r="B255">
        <v>1652212</v>
      </c>
      <c r="C255">
        <v>29156</v>
      </c>
      <c r="D255">
        <v>258917</v>
      </c>
    </row>
    <row r="256" spans="1:6">
      <c r="A256" t="s">
        <v>181</v>
      </c>
      <c r="B256">
        <v>12456432</v>
      </c>
      <c r="D256">
        <v>1183127</v>
      </c>
    </row>
    <row r="257" spans="1:6">
      <c r="A257" t="s">
        <v>318</v>
      </c>
      <c r="B257">
        <v>41340559</v>
      </c>
      <c r="C257">
        <v>735268</v>
      </c>
      <c r="D257">
        <v>2396101</v>
      </c>
      <c r="F257">
        <v>115000</v>
      </c>
    </row>
    <row r="258" spans="1:6">
      <c r="A258" t="s">
        <v>189</v>
      </c>
      <c r="B258">
        <v>12318230</v>
      </c>
      <c r="D258">
        <v>1321554</v>
      </c>
    </row>
    <row r="259" spans="1:6">
      <c r="A259" t="s">
        <v>110</v>
      </c>
      <c r="B259">
        <v>27249375</v>
      </c>
      <c r="C259">
        <v>302140</v>
      </c>
      <c r="D259">
        <v>2148972</v>
      </c>
    </row>
    <row r="260" spans="1:6">
      <c r="A260" t="s">
        <v>364</v>
      </c>
      <c r="B260">
        <v>1460915</v>
      </c>
      <c r="D260">
        <v>189191</v>
      </c>
    </row>
    <row r="261" spans="1:6">
      <c r="A261" t="s">
        <v>445</v>
      </c>
      <c r="B261">
        <v>1023760</v>
      </c>
      <c r="D261">
        <v>105040</v>
      </c>
    </row>
    <row r="262" spans="1:6">
      <c r="A262" t="s">
        <v>270</v>
      </c>
      <c r="B262">
        <v>5228589</v>
      </c>
      <c r="D262">
        <v>502390</v>
      </c>
    </row>
    <row r="263" spans="1:6">
      <c r="A263" t="s">
        <v>258</v>
      </c>
      <c r="B263">
        <v>2344648</v>
      </c>
      <c r="D263">
        <v>290321</v>
      </c>
    </row>
    <row r="264" spans="1:6">
      <c r="A264" t="s">
        <v>503</v>
      </c>
      <c r="B264">
        <v>678804</v>
      </c>
    </row>
    <row r="265" spans="1:6">
      <c r="A265" t="s">
        <v>359</v>
      </c>
      <c r="B265">
        <v>20631</v>
      </c>
    </row>
    <row r="266" spans="1:6">
      <c r="A266" t="s">
        <v>509</v>
      </c>
      <c r="B266">
        <v>8986035</v>
      </c>
      <c r="D266">
        <v>1065991</v>
      </c>
    </row>
    <row r="267" spans="1:6">
      <c r="A267" t="s">
        <v>29</v>
      </c>
      <c r="B267">
        <v>3058211</v>
      </c>
      <c r="C267">
        <v>41989</v>
      </c>
      <c r="D267">
        <v>386508</v>
      </c>
    </row>
    <row r="268" spans="1:6">
      <c r="A268" t="s">
        <v>268</v>
      </c>
      <c r="B268">
        <v>356348</v>
      </c>
      <c r="D268">
        <v>37000</v>
      </c>
    </row>
    <row r="269" spans="1:6">
      <c r="A269" t="s">
        <v>133</v>
      </c>
      <c r="B269">
        <v>1418193</v>
      </c>
      <c r="D269">
        <v>268266</v>
      </c>
    </row>
    <row r="270" spans="1:6">
      <c r="A270" t="s">
        <v>507</v>
      </c>
      <c r="B270">
        <v>412130</v>
      </c>
      <c r="D270">
        <v>67739</v>
      </c>
    </row>
    <row r="271" spans="1:6">
      <c r="A271" t="s">
        <v>386</v>
      </c>
      <c r="B271">
        <v>510726</v>
      </c>
      <c r="D271">
        <v>41252</v>
      </c>
    </row>
    <row r="272" spans="1:6">
      <c r="A272" t="s">
        <v>197</v>
      </c>
      <c r="B272">
        <v>30619474</v>
      </c>
      <c r="D272">
        <v>2274290</v>
      </c>
    </row>
    <row r="273" spans="1:6">
      <c r="A273" t="s">
        <v>420</v>
      </c>
      <c r="B273">
        <v>11169204</v>
      </c>
      <c r="D273">
        <v>1004939</v>
      </c>
      <c r="F273">
        <v>92883</v>
      </c>
    </row>
    <row r="274" spans="1:6">
      <c r="A274" t="s">
        <v>14</v>
      </c>
      <c r="B274">
        <v>6583129</v>
      </c>
      <c r="D274">
        <v>434269</v>
      </c>
    </row>
    <row r="275" spans="1:6">
      <c r="A275" t="s">
        <v>488</v>
      </c>
      <c r="B275">
        <v>7704444</v>
      </c>
      <c r="D275">
        <v>1016099</v>
      </c>
    </row>
    <row r="276" spans="1:6">
      <c r="A276" t="s">
        <v>45</v>
      </c>
      <c r="B276">
        <v>3342233</v>
      </c>
      <c r="C276">
        <v>37407</v>
      </c>
      <c r="D276">
        <v>338137</v>
      </c>
    </row>
    <row r="277" spans="1:6">
      <c r="A277" t="s">
        <v>103</v>
      </c>
      <c r="B277">
        <v>3938636</v>
      </c>
      <c r="C277">
        <v>96098</v>
      </c>
      <c r="D277">
        <v>385956</v>
      </c>
    </row>
    <row r="278" spans="1:6">
      <c r="A278" t="s">
        <v>211</v>
      </c>
      <c r="B278">
        <v>4411762</v>
      </c>
      <c r="D278">
        <v>399528</v>
      </c>
    </row>
    <row r="279" spans="1:6">
      <c r="A279" t="s">
        <v>1311</v>
      </c>
      <c r="B279">
        <v>107026</v>
      </c>
      <c r="D279">
        <v>9892</v>
      </c>
    </row>
    <row r="280" spans="1:6">
      <c r="A280" t="s">
        <v>123</v>
      </c>
      <c r="B280">
        <v>154585</v>
      </c>
      <c r="C280">
        <v>4076</v>
      </c>
      <c r="D280">
        <v>22418</v>
      </c>
    </row>
    <row r="281" spans="1:6">
      <c r="A281" t="s">
        <v>132</v>
      </c>
      <c r="B281">
        <v>103961</v>
      </c>
      <c r="C281">
        <v>1926</v>
      </c>
      <c r="D281">
        <v>6656</v>
      </c>
    </row>
    <row r="282" spans="1:6">
      <c r="A282" t="s">
        <v>256</v>
      </c>
      <c r="B282">
        <v>319145</v>
      </c>
      <c r="D282">
        <v>41456</v>
      </c>
    </row>
    <row r="283" spans="1:6">
      <c r="A283" t="s">
        <v>350</v>
      </c>
      <c r="B283">
        <v>3702829</v>
      </c>
      <c r="C283">
        <v>95650</v>
      </c>
      <c r="D283">
        <v>456962</v>
      </c>
    </row>
    <row r="284" spans="1:6">
      <c r="A284" t="s">
        <v>27</v>
      </c>
      <c r="B284">
        <v>885575</v>
      </c>
      <c r="D284">
        <v>109452</v>
      </c>
    </row>
    <row r="285" spans="1:6">
      <c r="A285" t="s">
        <v>0</v>
      </c>
      <c r="B285">
        <v>281686</v>
      </c>
      <c r="D285">
        <v>58000</v>
      </c>
    </row>
    <row r="286" spans="1:6">
      <c r="A286" t="s">
        <v>430</v>
      </c>
      <c r="B286">
        <v>148795</v>
      </c>
      <c r="D286">
        <v>32116</v>
      </c>
    </row>
    <row r="287" spans="1:6">
      <c r="A287" t="s">
        <v>66</v>
      </c>
      <c r="B287">
        <v>58092</v>
      </c>
      <c r="D287">
        <v>11000</v>
      </c>
    </row>
    <row r="288" spans="1:6">
      <c r="A288" t="s">
        <v>148</v>
      </c>
      <c r="B288">
        <v>281026</v>
      </c>
      <c r="D288">
        <v>38208</v>
      </c>
    </row>
    <row r="289" spans="1:6">
      <c r="A289" t="s">
        <v>411</v>
      </c>
      <c r="B289">
        <v>275123</v>
      </c>
      <c r="D289">
        <v>30000</v>
      </c>
    </row>
    <row r="290" spans="1:6">
      <c r="A290" t="s">
        <v>274</v>
      </c>
      <c r="B290">
        <v>279085</v>
      </c>
      <c r="D290">
        <v>48400</v>
      </c>
    </row>
    <row r="291" spans="1:6">
      <c r="A291" t="s">
        <v>543</v>
      </c>
      <c r="B291">
        <v>209782</v>
      </c>
      <c r="D291">
        <v>50000</v>
      </c>
    </row>
    <row r="292" spans="1:6">
      <c r="A292" t="s">
        <v>326</v>
      </c>
      <c r="B292">
        <v>195667</v>
      </c>
      <c r="D292">
        <v>28553</v>
      </c>
    </row>
    <row r="293" spans="1:6">
      <c r="A293" t="s">
        <v>1518</v>
      </c>
      <c r="B293">
        <v>203694</v>
      </c>
      <c r="D293">
        <v>14900</v>
      </c>
    </row>
    <row r="294" spans="1:6">
      <c r="A294" t="s">
        <v>191</v>
      </c>
      <c r="B294">
        <v>634481</v>
      </c>
      <c r="D294">
        <v>388926</v>
      </c>
    </row>
    <row r="295" spans="1:6">
      <c r="A295" t="s">
        <v>92</v>
      </c>
      <c r="B295">
        <v>1769816</v>
      </c>
      <c r="D295">
        <v>361478</v>
      </c>
    </row>
    <row r="296" spans="1:6">
      <c r="A296" t="s">
        <v>179</v>
      </c>
      <c r="B296">
        <v>34408380</v>
      </c>
      <c r="D296">
        <v>3414187</v>
      </c>
    </row>
    <row r="297" spans="1:6">
      <c r="A297" t="s">
        <v>231</v>
      </c>
      <c r="B297">
        <v>5016102</v>
      </c>
      <c r="D297">
        <v>626285</v>
      </c>
    </row>
    <row r="298" spans="1:6">
      <c r="A298" t="s">
        <v>553</v>
      </c>
      <c r="B298">
        <v>5401806</v>
      </c>
      <c r="C298">
        <v>101416</v>
      </c>
      <c r="D298">
        <v>778773</v>
      </c>
    </row>
    <row r="299" spans="1:6">
      <c r="A299" t="s">
        <v>490</v>
      </c>
      <c r="B299">
        <v>1021636</v>
      </c>
      <c r="D299">
        <v>220298</v>
      </c>
    </row>
    <row r="300" spans="1:6">
      <c r="A300" t="s">
        <v>219</v>
      </c>
      <c r="B300">
        <v>6394701</v>
      </c>
      <c r="C300">
        <v>192776</v>
      </c>
      <c r="D300">
        <v>701131</v>
      </c>
    </row>
    <row r="301" spans="1:6">
      <c r="A301" t="s">
        <v>248</v>
      </c>
      <c r="B301">
        <v>10704361</v>
      </c>
      <c r="D301">
        <v>1457259</v>
      </c>
    </row>
    <row r="302" spans="1:6">
      <c r="A302" t="s">
        <v>266</v>
      </c>
      <c r="B302">
        <v>4748414</v>
      </c>
      <c r="D302">
        <v>1211492</v>
      </c>
      <c r="F302">
        <v>113153</v>
      </c>
    </row>
    <row r="303" spans="1:6">
      <c r="A303" t="s">
        <v>449</v>
      </c>
      <c r="B303">
        <v>1557823</v>
      </c>
      <c r="D303">
        <v>246918</v>
      </c>
    </row>
    <row r="304" spans="1:6">
      <c r="A304" t="s">
        <v>221</v>
      </c>
      <c r="B304">
        <v>1963960</v>
      </c>
      <c r="D304">
        <v>299613</v>
      </c>
    </row>
    <row r="305" spans="1:6">
      <c r="A305" t="s">
        <v>407</v>
      </c>
      <c r="B305">
        <v>1518493</v>
      </c>
      <c r="D305">
        <v>275057</v>
      </c>
    </row>
    <row r="306" spans="1:6">
      <c r="A306" t="s">
        <v>511</v>
      </c>
      <c r="B306">
        <v>4645881</v>
      </c>
      <c r="C306">
        <v>179321</v>
      </c>
      <c r="D306">
        <v>881244</v>
      </c>
      <c r="F306">
        <v>169500</v>
      </c>
    </row>
    <row r="307" spans="1:6">
      <c r="A307" t="s">
        <v>299</v>
      </c>
      <c r="B307">
        <v>8591847</v>
      </c>
      <c r="D307">
        <v>1135784</v>
      </c>
    </row>
    <row r="308" spans="1:6">
      <c r="A308" t="s">
        <v>209</v>
      </c>
      <c r="B308">
        <v>1663137</v>
      </c>
      <c r="D308">
        <v>222004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2EE41-6F17-4511-B733-9769E2385AB6}">
  <sheetPr>
    <tabColor rgb="FF92D050"/>
  </sheetPr>
  <dimension ref="A1:O309"/>
  <sheetViews>
    <sheetView topLeftCell="A67" workbookViewId="0">
      <selection activeCell="D326" sqref="D326"/>
    </sheetView>
  </sheetViews>
  <sheetFormatPr defaultRowHeight="12.75"/>
  <cols>
    <col min="6" max="6" width="9.140625" style="23"/>
    <col min="9" max="9" width="9.140625" style="23"/>
  </cols>
  <sheetData>
    <row r="1" spans="1:15">
      <c r="A1" t="s">
        <v>867</v>
      </c>
      <c r="B1" t="s">
        <v>1545</v>
      </c>
      <c r="C1" t="s">
        <v>1546</v>
      </c>
      <c r="D1" t="s">
        <v>1547</v>
      </c>
      <c r="E1" t="s">
        <v>1548</v>
      </c>
      <c r="F1" s="179" t="s">
        <v>1549</v>
      </c>
      <c r="G1" t="s">
        <v>1550</v>
      </c>
      <c r="H1" t="s">
        <v>1551</v>
      </c>
      <c r="I1" s="179" t="s">
        <v>1778</v>
      </c>
      <c r="J1" t="s">
        <v>1553</v>
      </c>
      <c r="K1" t="s">
        <v>1554</v>
      </c>
      <c r="L1" t="s">
        <v>1555</v>
      </c>
      <c r="O1" s="226" t="s">
        <v>1772</v>
      </c>
    </row>
    <row r="2" spans="1:15">
      <c r="A2" t="s">
        <v>36</v>
      </c>
      <c r="B2">
        <v>7495</v>
      </c>
      <c r="C2">
        <v>106197</v>
      </c>
      <c r="O2" s="23" t="s">
        <v>1773</v>
      </c>
    </row>
    <row r="3" spans="1:15">
      <c r="A3" t="s">
        <v>167</v>
      </c>
      <c r="B3">
        <v>1115293</v>
      </c>
      <c r="C3">
        <v>5875023</v>
      </c>
      <c r="J3">
        <v>60000</v>
      </c>
    </row>
    <row r="4" spans="1:15">
      <c r="A4" t="s">
        <v>464</v>
      </c>
      <c r="B4">
        <v>27161</v>
      </c>
      <c r="C4">
        <v>266996</v>
      </c>
    </row>
    <row r="5" spans="1:15">
      <c r="A5" t="s">
        <v>378</v>
      </c>
      <c r="B5">
        <v>28034</v>
      </c>
      <c r="C5">
        <v>246745</v>
      </c>
    </row>
    <row r="6" spans="1:15">
      <c r="A6" t="s">
        <v>21</v>
      </c>
      <c r="B6">
        <v>698295</v>
      </c>
      <c r="C6">
        <v>3462021</v>
      </c>
      <c r="J6">
        <v>35000</v>
      </c>
    </row>
    <row r="7" spans="1:15">
      <c r="A7" t="s">
        <v>473</v>
      </c>
      <c r="B7">
        <v>141567</v>
      </c>
      <c r="C7">
        <v>753950</v>
      </c>
    </row>
    <row r="8" spans="1:15">
      <c r="A8" t="s">
        <v>458</v>
      </c>
      <c r="B8">
        <v>5612830</v>
      </c>
      <c r="C8">
        <v>22727936</v>
      </c>
      <c r="E8">
        <v>70000</v>
      </c>
      <c r="J8">
        <v>170000</v>
      </c>
      <c r="L8">
        <v>30000</v>
      </c>
    </row>
    <row r="9" spans="1:15">
      <c r="A9" t="s">
        <v>391</v>
      </c>
      <c r="B9">
        <v>11619</v>
      </c>
      <c r="C9">
        <v>208730</v>
      </c>
    </row>
    <row r="10" spans="1:15">
      <c r="A10" t="s">
        <v>481</v>
      </c>
      <c r="B10">
        <v>393693</v>
      </c>
      <c r="C10">
        <v>1758497</v>
      </c>
      <c r="E10">
        <v>3000</v>
      </c>
    </row>
    <row r="11" spans="1:15">
      <c r="A11" t="s">
        <v>424</v>
      </c>
      <c r="B11">
        <v>198361</v>
      </c>
      <c r="C11">
        <v>1023227</v>
      </c>
      <c r="J11">
        <v>10000</v>
      </c>
    </row>
    <row r="12" spans="1:15">
      <c r="A12" t="s">
        <v>348</v>
      </c>
      <c r="B12">
        <v>781024</v>
      </c>
      <c r="C12">
        <v>3063084</v>
      </c>
      <c r="J12">
        <v>2500</v>
      </c>
    </row>
    <row r="13" spans="1:15">
      <c r="A13" t="s">
        <v>374</v>
      </c>
      <c r="B13">
        <v>4033921</v>
      </c>
      <c r="C13">
        <v>17966680</v>
      </c>
      <c r="J13">
        <v>245500</v>
      </c>
    </row>
    <row r="14" spans="1:15">
      <c r="A14" t="s">
        <v>494</v>
      </c>
      <c r="B14">
        <v>101850</v>
      </c>
      <c r="C14">
        <v>743684</v>
      </c>
    </row>
    <row r="15" spans="1:15">
      <c r="A15" t="s">
        <v>413</v>
      </c>
      <c r="B15">
        <v>35430</v>
      </c>
      <c r="C15">
        <v>332247</v>
      </c>
    </row>
    <row r="16" spans="1:15">
      <c r="A16" t="s">
        <v>124</v>
      </c>
      <c r="B16">
        <v>188295</v>
      </c>
      <c r="C16">
        <v>1436375</v>
      </c>
    </row>
    <row r="17" spans="1:12">
      <c r="A17" t="s">
        <v>153</v>
      </c>
      <c r="B17">
        <v>228576</v>
      </c>
      <c r="C17">
        <v>1893970</v>
      </c>
      <c r="J17">
        <v>50000</v>
      </c>
    </row>
    <row r="18" spans="1:12">
      <c r="A18" t="s">
        <v>151</v>
      </c>
      <c r="B18">
        <v>226512</v>
      </c>
      <c r="C18">
        <v>1069965</v>
      </c>
      <c r="J18">
        <v>10000</v>
      </c>
    </row>
    <row r="19" spans="1:12">
      <c r="A19" t="s">
        <v>485</v>
      </c>
      <c r="B19">
        <v>1541406</v>
      </c>
      <c r="C19">
        <v>10969190</v>
      </c>
      <c r="J19">
        <v>90000</v>
      </c>
    </row>
    <row r="20" spans="1:12">
      <c r="A20" t="s">
        <v>1515</v>
      </c>
      <c r="B20">
        <v>25610</v>
      </c>
      <c r="C20">
        <v>206197</v>
      </c>
    </row>
    <row r="21" spans="1:12">
      <c r="A21" t="s">
        <v>401</v>
      </c>
      <c r="B21">
        <v>1104806</v>
      </c>
      <c r="C21">
        <v>4990140</v>
      </c>
      <c r="G21">
        <v>25000</v>
      </c>
      <c r="J21">
        <v>225000</v>
      </c>
    </row>
    <row r="22" spans="1:12">
      <c r="A22" t="s">
        <v>12</v>
      </c>
      <c r="B22">
        <v>42867</v>
      </c>
      <c r="C22">
        <v>262899</v>
      </c>
    </row>
    <row r="23" spans="1:12">
      <c r="A23" t="s">
        <v>557</v>
      </c>
      <c r="B23">
        <v>489123</v>
      </c>
      <c r="C23">
        <v>3537430</v>
      </c>
      <c r="J23">
        <v>60000</v>
      </c>
      <c r="L23">
        <v>110000</v>
      </c>
    </row>
    <row r="24" spans="1:12">
      <c r="A24" t="s">
        <v>536</v>
      </c>
      <c r="B24">
        <v>99092</v>
      </c>
      <c r="C24">
        <v>617571</v>
      </c>
      <c r="G24">
        <v>50000</v>
      </c>
    </row>
    <row r="25" spans="1:12">
      <c r="A25" t="s">
        <v>243</v>
      </c>
      <c r="B25">
        <v>852283</v>
      </c>
      <c r="C25">
        <v>5490471</v>
      </c>
    </row>
    <row r="26" spans="1:12">
      <c r="A26" t="s">
        <v>280</v>
      </c>
      <c r="B26">
        <v>6943711</v>
      </c>
      <c r="C26">
        <v>30295975</v>
      </c>
      <c r="J26">
        <v>300000</v>
      </c>
      <c r="L26">
        <v>1220000</v>
      </c>
    </row>
    <row r="27" spans="1:12">
      <c r="A27" t="s">
        <v>334</v>
      </c>
      <c r="B27">
        <v>357772</v>
      </c>
      <c r="C27">
        <v>2247542</v>
      </c>
      <c r="E27">
        <v>4000</v>
      </c>
      <c r="J27">
        <v>9000</v>
      </c>
    </row>
    <row r="28" spans="1:12">
      <c r="A28" t="s">
        <v>121</v>
      </c>
      <c r="B28">
        <v>481470</v>
      </c>
      <c r="C28">
        <v>2276058</v>
      </c>
    </row>
    <row r="29" spans="1:12">
      <c r="A29" t="s">
        <v>443</v>
      </c>
      <c r="B29">
        <v>31091</v>
      </c>
      <c r="C29">
        <v>194036</v>
      </c>
    </row>
    <row r="30" spans="1:12">
      <c r="A30" t="s">
        <v>34</v>
      </c>
      <c r="B30">
        <v>788769</v>
      </c>
      <c r="C30">
        <v>4204853</v>
      </c>
      <c r="J30">
        <v>15000</v>
      </c>
    </row>
    <row r="31" spans="1:12">
      <c r="A31" t="s">
        <v>515</v>
      </c>
      <c r="B31">
        <v>6059603</v>
      </c>
      <c r="C31">
        <v>32372982</v>
      </c>
      <c r="J31">
        <v>275000</v>
      </c>
      <c r="L31">
        <v>899679</v>
      </c>
    </row>
    <row r="32" spans="1:12">
      <c r="A32" t="s">
        <v>534</v>
      </c>
      <c r="B32">
        <v>1281276</v>
      </c>
      <c r="C32">
        <v>8490389</v>
      </c>
    </row>
    <row r="33" spans="1:12">
      <c r="A33" t="s">
        <v>477</v>
      </c>
      <c r="B33">
        <v>2915636</v>
      </c>
      <c r="C33">
        <v>16895662</v>
      </c>
      <c r="E33">
        <v>35000</v>
      </c>
      <c r="J33">
        <v>150000</v>
      </c>
    </row>
    <row r="34" spans="1:12">
      <c r="A34" t="s">
        <v>376</v>
      </c>
      <c r="B34">
        <v>738611</v>
      </c>
      <c r="C34">
        <v>4679922</v>
      </c>
      <c r="K34">
        <v>10000</v>
      </c>
      <c r="L34">
        <v>243000</v>
      </c>
    </row>
    <row r="35" spans="1:12">
      <c r="A35" t="s">
        <v>228</v>
      </c>
      <c r="B35">
        <v>80390</v>
      </c>
      <c r="C35">
        <v>533635</v>
      </c>
    </row>
    <row r="36" spans="1:12">
      <c r="A36" t="s">
        <v>61</v>
      </c>
      <c r="B36">
        <v>47429</v>
      </c>
      <c r="C36">
        <v>772988</v>
      </c>
    </row>
    <row r="37" spans="1:12">
      <c r="A37" t="s">
        <v>466</v>
      </c>
      <c r="B37">
        <v>2141832</v>
      </c>
      <c r="C37">
        <v>9888747</v>
      </c>
      <c r="E37">
        <v>60000</v>
      </c>
      <c r="J37">
        <v>125000</v>
      </c>
    </row>
    <row r="38" spans="1:12">
      <c r="A38" t="s">
        <v>185</v>
      </c>
      <c r="B38">
        <v>165230</v>
      </c>
      <c r="C38">
        <v>860343</v>
      </c>
    </row>
    <row r="39" spans="1:12">
      <c r="A39" t="s">
        <v>155</v>
      </c>
      <c r="B39">
        <v>391426</v>
      </c>
      <c r="C39">
        <v>1897694</v>
      </c>
      <c r="E39">
        <v>9000</v>
      </c>
      <c r="J39">
        <v>22000</v>
      </c>
    </row>
    <row r="40" spans="1:12">
      <c r="A40" t="s">
        <v>452</v>
      </c>
      <c r="B40">
        <v>298928</v>
      </c>
      <c r="C40">
        <v>1551256</v>
      </c>
    </row>
    <row r="41" spans="1:12">
      <c r="A41" t="s">
        <v>177</v>
      </c>
      <c r="B41">
        <v>605710</v>
      </c>
      <c r="C41">
        <v>4070836</v>
      </c>
      <c r="E41">
        <v>2000</v>
      </c>
      <c r="J41">
        <v>12000</v>
      </c>
      <c r="L41">
        <v>124780</v>
      </c>
    </row>
    <row r="42" spans="1:12">
      <c r="A42" t="s">
        <v>456</v>
      </c>
      <c r="B42">
        <v>1566929</v>
      </c>
      <c r="C42">
        <v>7212752</v>
      </c>
      <c r="J42">
        <v>40000</v>
      </c>
    </row>
    <row r="43" spans="1:12">
      <c r="A43" t="s">
        <v>161</v>
      </c>
      <c r="B43">
        <v>21412</v>
      </c>
      <c r="C43">
        <v>156361</v>
      </c>
    </row>
    <row r="44" spans="1:12">
      <c r="A44" t="s">
        <v>528</v>
      </c>
      <c r="B44">
        <v>89330</v>
      </c>
      <c r="C44">
        <v>726649</v>
      </c>
      <c r="J44">
        <v>15000</v>
      </c>
    </row>
    <row r="45" spans="1:12">
      <c r="A45" t="s">
        <v>169</v>
      </c>
      <c r="B45">
        <v>1665</v>
      </c>
      <c r="C45">
        <v>30996</v>
      </c>
    </row>
    <row r="46" spans="1:12">
      <c r="A46" t="s">
        <v>232</v>
      </c>
      <c r="B46">
        <v>1171239</v>
      </c>
      <c r="C46">
        <v>6730450</v>
      </c>
      <c r="E46">
        <v>25000</v>
      </c>
      <c r="J46">
        <v>45000</v>
      </c>
    </row>
    <row r="47" spans="1:12">
      <c r="A47" t="s">
        <v>492</v>
      </c>
      <c r="B47">
        <v>15279</v>
      </c>
      <c r="C47">
        <v>101838</v>
      </c>
    </row>
    <row r="48" spans="1:12">
      <c r="A48" t="s">
        <v>520</v>
      </c>
      <c r="B48">
        <v>63857</v>
      </c>
      <c r="C48">
        <v>310216</v>
      </c>
    </row>
    <row r="49" spans="1:12">
      <c r="A49" t="s">
        <v>454</v>
      </c>
      <c r="B49">
        <v>1947</v>
      </c>
      <c r="C49">
        <v>30731</v>
      </c>
      <c r="G49">
        <v>5000</v>
      </c>
    </row>
    <row r="50" spans="1:12">
      <c r="A50" t="s">
        <v>402</v>
      </c>
      <c r="B50">
        <v>21347</v>
      </c>
      <c r="C50">
        <v>204845</v>
      </c>
    </row>
    <row r="51" spans="1:12">
      <c r="A51" t="s">
        <v>159</v>
      </c>
      <c r="B51">
        <v>3489</v>
      </c>
      <c r="C51">
        <v>40981</v>
      </c>
    </row>
    <row r="52" spans="1:12">
      <c r="A52" t="s">
        <v>340</v>
      </c>
      <c r="B52">
        <v>33823</v>
      </c>
      <c r="C52">
        <v>231211</v>
      </c>
      <c r="G52">
        <v>15300</v>
      </c>
    </row>
    <row r="53" spans="1:12">
      <c r="A53" t="s">
        <v>372</v>
      </c>
      <c r="B53">
        <v>71639</v>
      </c>
      <c r="C53">
        <v>446996</v>
      </c>
    </row>
    <row r="54" spans="1:12">
      <c r="A54" t="s">
        <v>2</v>
      </c>
      <c r="B54">
        <v>5833943</v>
      </c>
      <c r="C54">
        <v>22991589</v>
      </c>
      <c r="J54">
        <v>215000</v>
      </c>
      <c r="L54">
        <v>850000</v>
      </c>
    </row>
    <row r="55" spans="1:12">
      <c r="A55" t="s">
        <v>216</v>
      </c>
      <c r="B55">
        <v>622049</v>
      </c>
      <c r="C55">
        <v>2832413</v>
      </c>
      <c r="E55">
        <v>27160</v>
      </c>
      <c r="J55">
        <v>33783</v>
      </c>
    </row>
    <row r="56" spans="1:12">
      <c r="A56" t="s">
        <v>59</v>
      </c>
      <c r="C56">
        <v>10785</v>
      </c>
    </row>
    <row r="57" spans="1:12">
      <c r="A57" t="s">
        <v>346</v>
      </c>
      <c r="B57">
        <v>11663</v>
      </c>
      <c r="C57">
        <v>58133</v>
      </c>
    </row>
    <row r="58" spans="1:12">
      <c r="A58" t="s">
        <v>399</v>
      </c>
      <c r="B58">
        <v>90548</v>
      </c>
      <c r="C58">
        <v>471586</v>
      </c>
    </row>
    <row r="59" spans="1:12">
      <c r="A59" t="s">
        <v>505</v>
      </c>
      <c r="B59">
        <v>548022</v>
      </c>
      <c r="C59">
        <v>2742607</v>
      </c>
    </row>
    <row r="60" spans="1:12">
      <c r="A60" t="s">
        <v>362</v>
      </c>
      <c r="B60">
        <v>642302</v>
      </c>
      <c r="C60">
        <v>4103699</v>
      </c>
    </row>
    <row r="61" spans="1:12">
      <c r="A61" t="s">
        <v>32</v>
      </c>
      <c r="B61">
        <v>256638</v>
      </c>
      <c r="C61">
        <v>1139970</v>
      </c>
      <c r="J61">
        <v>25000</v>
      </c>
    </row>
    <row r="62" spans="1:12">
      <c r="A62" t="s">
        <v>142</v>
      </c>
      <c r="B62">
        <v>46318</v>
      </c>
      <c r="C62">
        <v>209919</v>
      </c>
      <c r="L62">
        <v>2000</v>
      </c>
    </row>
    <row r="63" spans="1:12">
      <c r="A63" t="s">
        <v>83</v>
      </c>
      <c r="B63">
        <v>117375</v>
      </c>
      <c r="C63">
        <v>704805</v>
      </c>
    </row>
    <row r="64" spans="1:12">
      <c r="A64" t="s">
        <v>276</v>
      </c>
      <c r="B64">
        <v>456735</v>
      </c>
      <c r="C64">
        <v>2287143</v>
      </c>
    </row>
    <row r="65" spans="1:12">
      <c r="A65" t="s">
        <v>205</v>
      </c>
      <c r="B65">
        <v>2222565</v>
      </c>
      <c r="C65">
        <v>11925946</v>
      </c>
      <c r="J65">
        <v>25000</v>
      </c>
    </row>
    <row r="66" spans="1:12">
      <c r="A66" t="s">
        <v>417</v>
      </c>
      <c r="B66">
        <v>584971</v>
      </c>
      <c r="C66">
        <v>3275386</v>
      </c>
    </row>
    <row r="67" spans="1:12">
      <c r="A67" t="s">
        <v>310</v>
      </c>
      <c r="B67">
        <v>20253</v>
      </c>
      <c r="C67">
        <v>134796</v>
      </c>
    </row>
    <row r="68" spans="1:12">
      <c r="A68" t="s">
        <v>436</v>
      </c>
      <c r="B68">
        <v>140464</v>
      </c>
      <c r="C68">
        <v>941630</v>
      </c>
      <c r="G68">
        <v>23100</v>
      </c>
    </row>
    <row r="69" spans="1:12">
      <c r="A69" t="s">
        <v>51</v>
      </c>
      <c r="B69">
        <v>1015225</v>
      </c>
      <c r="C69">
        <v>4303945</v>
      </c>
      <c r="E69">
        <v>3500</v>
      </c>
      <c r="J69">
        <v>4300</v>
      </c>
    </row>
    <row r="70" spans="1:12">
      <c r="A70" t="s">
        <v>338</v>
      </c>
      <c r="B70">
        <v>309894</v>
      </c>
      <c r="C70">
        <v>2070935</v>
      </c>
    </row>
    <row r="71" spans="1:12">
      <c r="A71" t="s">
        <v>214</v>
      </c>
      <c r="B71">
        <v>213900</v>
      </c>
      <c r="C71">
        <v>926963</v>
      </c>
      <c r="G71">
        <v>6091</v>
      </c>
    </row>
    <row r="72" spans="1:12">
      <c r="A72" t="s">
        <v>38</v>
      </c>
      <c r="B72">
        <v>73888</v>
      </c>
      <c r="C72">
        <v>397031</v>
      </c>
    </row>
    <row r="73" spans="1:12">
      <c r="A73" t="s">
        <v>73</v>
      </c>
      <c r="B73">
        <v>454077</v>
      </c>
      <c r="C73">
        <v>2007508</v>
      </c>
      <c r="J73">
        <v>12000</v>
      </c>
      <c r="L73">
        <v>160000</v>
      </c>
    </row>
    <row r="74" spans="1:12">
      <c r="A74" t="s">
        <v>409</v>
      </c>
      <c r="B74">
        <v>607538</v>
      </c>
      <c r="C74">
        <v>2190061</v>
      </c>
      <c r="E74">
        <v>6090</v>
      </c>
      <c r="J74">
        <v>3000</v>
      </c>
    </row>
    <row r="75" spans="1:12">
      <c r="A75" t="s">
        <v>252</v>
      </c>
      <c r="B75">
        <v>46119</v>
      </c>
      <c r="C75">
        <v>210061</v>
      </c>
      <c r="G75">
        <v>45000</v>
      </c>
    </row>
    <row r="76" spans="1:12">
      <c r="A76" t="s">
        <v>245</v>
      </c>
      <c r="B76">
        <v>52247</v>
      </c>
      <c r="C76">
        <v>245594</v>
      </c>
      <c r="G76">
        <v>8000</v>
      </c>
    </row>
    <row r="77" spans="1:12">
      <c r="A77" t="s">
        <v>140</v>
      </c>
      <c r="B77">
        <v>41957</v>
      </c>
      <c r="C77">
        <v>205663</v>
      </c>
    </row>
    <row r="78" spans="1:12">
      <c r="A78" t="s">
        <v>547</v>
      </c>
      <c r="B78">
        <v>6988</v>
      </c>
      <c r="C78">
        <v>68484</v>
      </c>
    </row>
    <row r="79" spans="1:12">
      <c r="A79" t="s">
        <v>173</v>
      </c>
      <c r="B79">
        <v>20925</v>
      </c>
      <c r="C79">
        <v>175597</v>
      </c>
    </row>
    <row r="80" spans="1:12">
      <c r="A80" t="s">
        <v>104</v>
      </c>
      <c r="B80">
        <v>63146</v>
      </c>
      <c r="C80">
        <v>611391</v>
      </c>
    </row>
    <row r="81" spans="1:12">
      <c r="A81" t="s">
        <v>328</v>
      </c>
      <c r="B81">
        <v>64185</v>
      </c>
      <c r="C81">
        <v>457849</v>
      </c>
      <c r="G81">
        <v>21500</v>
      </c>
      <c r="J81">
        <v>500</v>
      </c>
    </row>
    <row r="82" spans="1:12">
      <c r="A82" t="s">
        <v>324</v>
      </c>
      <c r="B82">
        <v>2353732</v>
      </c>
      <c r="C82">
        <v>9209914</v>
      </c>
      <c r="G82">
        <v>271047</v>
      </c>
      <c r="J82">
        <v>50000</v>
      </c>
      <c r="L82">
        <v>150000</v>
      </c>
    </row>
    <row r="83" spans="1:12">
      <c r="A83" t="s">
        <v>143</v>
      </c>
      <c r="B83">
        <v>297160</v>
      </c>
      <c r="C83">
        <v>1643074</v>
      </c>
    </row>
    <row r="84" spans="1:12">
      <c r="A84" t="s">
        <v>569</v>
      </c>
      <c r="B84">
        <v>306159</v>
      </c>
      <c r="C84">
        <v>1683567</v>
      </c>
    </row>
    <row r="85" spans="1:12">
      <c r="A85" t="s">
        <v>354</v>
      </c>
      <c r="B85">
        <v>5483</v>
      </c>
      <c r="C85">
        <v>68205</v>
      </c>
      <c r="G85">
        <v>2500</v>
      </c>
    </row>
    <row r="86" spans="1:12">
      <c r="A86" t="s">
        <v>530</v>
      </c>
      <c r="B86">
        <v>4171</v>
      </c>
      <c r="C86">
        <v>65865</v>
      </c>
    </row>
    <row r="87" spans="1:12">
      <c r="A87" t="s">
        <v>67</v>
      </c>
      <c r="B87">
        <v>59877</v>
      </c>
      <c r="C87">
        <v>611069</v>
      </c>
    </row>
    <row r="88" spans="1:12">
      <c r="A88" t="s">
        <v>19</v>
      </c>
      <c r="B88">
        <v>189253</v>
      </c>
      <c r="C88">
        <v>1109271</v>
      </c>
      <c r="J88">
        <v>60000</v>
      </c>
    </row>
    <row r="89" spans="1:12">
      <c r="A89" t="s">
        <v>384</v>
      </c>
      <c r="B89">
        <v>211329</v>
      </c>
      <c r="C89">
        <v>1570731</v>
      </c>
      <c r="J89">
        <v>30000</v>
      </c>
    </row>
    <row r="90" spans="1:12">
      <c r="A90" t="s">
        <v>549</v>
      </c>
      <c r="B90">
        <v>14554264</v>
      </c>
      <c r="C90">
        <v>84103625</v>
      </c>
      <c r="E90">
        <v>32848</v>
      </c>
      <c r="J90">
        <v>82120</v>
      </c>
    </row>
    <row r="91" spans="1:12">
      <c r="A91" t="s">
        <v>517</v>
      </c>
      <c r="B91">
        <v>7177000</v>
      </c>
      <c r="C91">
        <v>33312000</v>
      </c>
      <c r="J91">
        <v>25000</v>
      </c>
      <c r="L91">
        <v>875000</v>
      </c>
    </row>
    <row r="92" spans="1:12">
      <c r="A92" t="s">
        <v>415</v>
      </c>
      <c r="B92">
        <v>1479409</v>
      </c>
      <c r="C92">
        <v>7109882</v>
      </c>
      <c r="E92">
        <v>12000</v>
      </c>
      <c r="J92">
        <v>35000</v>
      </c>
      <c r="L92">
        <v>5000</v>
      </c>
    </row>
    <row r="93" spans="1:12">
      <c r="A93" t="s">
        <v>43</v>
      </c>
      <c r="B93">
        <v>786441</v>
      </c>
      <c r="C93">
        <v>5465975</v>
      </c>
    </row>
    <row r="94" spans="1:12">
      <c r="A94" t="s">
        <v>332</v>
      </c>
      <c r="B94">
        <v>5742595</v>
      </c>
      <c r="C94">
        <v>28858922</v>
      </c>
      <c r="L94">
        <v>600000</v>
      </c>
    </row>
    <row r="95" spans="1:12">
      <c r="A95" t="s">
        <v>501</v>
      </c>
      <c r="B95">
        <v>235373</v>
      </c>
      <c r="C95">
        <v>1876744</v>
      </c>
      <c r="E95">
        <v>4000</v>
      </c>
      <c r="J95">
        <v>15000</v>
      </c>
    </row>
    <row r="96" spans="1:12">
      <c r="A96" t="s">
        <v>370</v>
      </c>
      <c r="B96">
        <v>5733864</v>
      </c>
      <c r="C96">
        <v>25079167</v>
      </c>
      <c r="J96">
        <v>150000</v>
      </c>
      <c r="L96">
        <v>319310</v>
      </c>
    </row>
    <row r="97" spans="1:12">
      <c r="A97" t="s">
        <v>77</v>
      </c>
      <c r="B97">
        <v>10289</v>
      </c>
      <c r="C97">
        <v>39689</v>
      </c>
    </row>
    <row r="98" spans="1:12">
      <c r="A98" t="s">
        <v>195</v>
      </c>
      <c r="B98">
        <v>3501798</v>
      </c>
      <c r="C98">
        <v>22818594</v>
      </c>
      <c r="E98">
        <v>1500</v>
      </c>
      <c r="J98">
        <v>2000</v>
      </c>
      <c r="L98">
        <v>50000</v>
      </c>
    </row>
    <row r="99" spans="1:12">
      <c r="A99" t="s">
        <v>566</v>
      </c>
      <c r="B99">
        <v>823704</v>
      </c>
      <c r="C99">
        <v>3939401</v>
      </c>
    </row>
    <row r="100" spans="1:12">
      <c r="A100" t="s">
        <v>382</v>
      </c>
      <c r="B100">
        <v>567696</v>
      </c>
      <c r="C100">
        <v>3724757</v>
      </c>
    </row>
    <row r="101" spans="1:12">
      <c r="A101" t="s">
        <v>474</v>
      </c>
      <c r="B101">
        <v>4797543</v>
      </c>
      <c r="C101">
        <v>24213479</v>
      </c>
      <c r="J101">
        <v>161783</v>
      </c>
    </row>
    <row r="102" spans="1:12">
      <c r="A102" t="s">
        <v>254</v>
      </c>
      <c r="B102">
        <v>2430446</v>
      </c>
      <c r="C102">
        <v>14996007</v>
      </c>
      <c r="H102">
        <v>3000</v>
      </c>
    </row>
    <row r="103" spans="1:12">
      <c r="A103" t="s">
        <v>81</v>
      </c>
      <c r="B103">
        <v>1503032</v>
      </c>
      <c r="C103">
        <v>8633111</v>
      </c>
      <c r="J103">
        <v>10000</v>
      </c>
    </row>
    <row r="104" spans="1:12">
      <c r="A104" t="s">
        <v>344</v>
      </c>
      <c r="B104">
        <v>3431577</v>
      </c>
      <c r="C104">
        <v>17969347</v>
      </c>
      <c r="E104">
        <v>1</v>
      </c>
      <c r="J104">
        <v>5000</v>
      </c>
      <c r="L104">
        <v>1</v>
      </c>
    </row>
    <row r="105" spans="1:12">
      <c r="A105" t="s">
        <v>563</v>
      </c>
      <c r="B105">
        <v>2120014</v>
      </c>
      <c r="C105">
        <v>12805517</v>
      </c>
      <c r="D105">
        <v>1</v>
      </c>
      <c r="E105">
        <v>12000</v>
      </c>
      <c r="J105">
        <v>30000</v>
      </c>
    </row>
    <row r="106" spans="1:12">
      <c r="A106" t="s">
        <v>128</v>
      </c>
      <c r="B106">
        <v>5971072</v>
      </c>
      <c r="C106">
        <v>36802147</v>
      </c>
      <c r="J106">
        <v>30000</v>
      </c>
      <c r="L106">
        <v>115000</v>
      </c>
    </row>
    <row r="107" spans="1:12">
      <c r="A107" t="s">
        <v>460</v>
      </c>
      <c r="B107">
        <v>7569883</v>
      </c>
      <c r="C107">
        <v>33774032</v>
      </c>
    </row>
    <row r="108" spans="1:12">
      <c r="A108" t="s">
        <v>322</v>
      </c>
      <c r="B108">
        <v>5996167</v>
      </c>
      <c r="C108">
        <v>38224335</v>
      </c>
      <c r="E108">
        <v>25000</v>
      </c>
      <c r="J108">
        <v>65000</v>
      </c>
    </row>
    <row r="109" spans="1:12">
      <c r="A109" t="s">
        <v>933</v>
      </c>
      <c r="B109">
        <v>91177</v>
      </c>
      <c r="C109">
        <v>549660</v>
      </c>
    </row>
    <row r="110" spans="1:12">
      <c r="A110" t="s">
        <v>954</v>
      </c>
      <c r="B110">
        <v>164765</v>
      </c>
      <c r="C110">
        <v>701509</v>
      </c>
    </row>
    <row r="111" spans="1:12">
      <c r="A111" t="s">
        <v>935</v>
      </c>
      <c r="B111">
        <v>15092</v>
      </c>
      <c r="C111">
        <v>226749</v>
      </c>
    </row>
    <row r="112" spans="1:12">
      <c r="A112" t="s">
        <v>961</v>
      </c>
      <c r="B112">
        <v>77486</v>
      </c>
      <c r="C112">
        <v>194925</v>
      </c>
    </row>
    <row r="113" spans="1:12">
      <c r="A113" t="s">
        <v>964</v>
      </c>
      <c r="B113">
        <v>50036</v>
      </c>
      <c r="C113">
        <v>691745</v>
      </c>
    </row>
    <row r="114" spans="1:12">
      <c r="A114" t="s">
        <v>1051</v>
      </c>
      <c r="B114">
        <v>31098</v>
      </c>
      <c r="C114">
        <v>429985</v>
      </c>
    </row>
    <row r="115" spans="1:12">
      <c r="A115" t="s">
        <v>1161</v>
      </c>
      <c r="B115">
        <v>45745</v>
      </c>
      <c r="C115">
        <v>223222</v>
      </c>
    </row>
    <row r="116" spans="1:12">
      <c r="A116" t="s">
        <v>524</v>
      </c>
      <c r="B116">
        <v>1454597</v>
      </c>
      <c r="C116">
        <v>7289738</v>
      </c>
      <c r="G116">
        <v>20000</v>
      </c>
    </row>
    <row r="117" spans="1:12">
      <c r="A117" t="s">
        <v>476</v>
      </c>
      <c r="B117">
        <v>830170</v>
      </c>
      <c r="C117">
        <v>5557860</v>
      </c>
    </row>
    <row r="118" spans="1:12">
      <c r="A118" t="s">
        <v>48</v>
      </c>
      <c r="B118">
        <v>1247967</v>
      </c>
      <c r="C118">
        <v>10539338</v>
      </c>
      <c r="G118">
        <v>182000</v>
      </c>
    </row>
    <row r="119" spans="1:12">
      <c r="A119" t="s">
        <v>281</v>
      </c>
      <c r="B119">
        <v>4198209</v>
      </c>
      <c r="C119">
        <v>18271342</v>
      </c>
      <c r="G119">
        <v>700000</v>
      </c>
      <c r="J119">
        <v>10000</v>
      </c>
      <c r="L119">
        <v>20000</v>
      </c>
    </row>
    <row r="120" spans="1:12">
      <c r="A120" t="s">
        <v>567</v>
      </c>
      <c r="B120">
        <v>3485649</v>
      </c>
      <c r="C120">
        <v>14615801</v>
      </c>
      <c r="G120">
        <v>100000</v>
      </c>
    </row>
    <row r="121" spans="1:12">
      <c r="A121" t="s">
        <v>1050</v>
      </c>
      <c r="B121">
        <v>74727</v>
      </c>
      <c r="C121">
        <v>700733</v>
      </c>
    </row>
    <row r="122" spans="1:12">
      <c r="A122" t="s">
        <v>406</v>
      </c>
      <c r="B122">
        <v>2770</v>
      </c>
      <c r="C122">
        <v>59218</v>
      </c>
    </row>
    <row r="123" spans="1:12">
      <c r="A123" t="s">
        <v>234</v>
      </c>
      <c r="B123">
        <v>14889</v>
      </c>
      <c r="C123">
        <v>103647</v>
      </c>
    </row>
    <row r="124" spans="1:12">
      <c r="A124" t="s">
        <v>260</v>
      </c>
      <c r="B124">
        <v>28823</v>
      </c>
      <c r="C124">
        <v>309070</v>
      </c>
      <c r="J124">
        <v>5000</v>
      </c>
    </row>
    <row r="125" spans="1:12">
      <c r="A125" t="s">
        <v>240</v>
      </c>
      <c r="B125">
        <v>731031</v>
      </c>
      <c r="C125">
        <v>3939939</v>
      </c>
      <c r="J125">
        <v>8000</v>
      </c>
    </row>
    <row r="126" spans="1:12">
      <c r="A126" t="s">
        <v>482</v>
      </c>
      <c r="B126">
        <v>130017</v>
      </c>
      <c r="C126">
        <v>749221</v>
      </c>
    </row>
    <row r="127" spans="1:12">
      <c r="A127" t="s">
        <v>23</v>
      </c>
      <c r="B127">
        <v>175660</v>
      </c>
      <c r="C127">
        <v>1213480</v>
      </c>
      <c r="J127">
        <v>10000</v>
      </c>
    </row>
    <row r="128" spans="1:12">
      <c r="A128" t="s">
        <v>175</v>
      </c>
      <c r="B128">
        <v>10358</v>
      </c>
      <c r="C128">
        <v>70598</v>
      </c>
    </row>
    <row r="129" spans="1:12">
      <c r="A129" t="s">
        <v>203</v>
      </c>
      <c r="B129">
        <v>30000</v>
      </c>
      <c r="C129">
        <v>170000</v>
      </c>
    </row>
    <row r="130" spans="1:12">
      <c r="A130" t="s">
        <v>157</v>
      </c>
      <c r="B130">
        <v>9878</v>
      </c>
      <c r="C130">
        <v>62859</v>
      </c>
    </row>
    <row r="131" spans="1:12">
      <c r="A131" t="s">
        <v>187</v>
      </c>
      <c r="B131">
        <v>28446</v>
      </c>
      <c r="C131">
        <v>189305</v>
      </c>
    </row>
    <row r="132" spans="1:12">
      <c r="A132" t="s">
        <v>432</v>
      </c>
      <c r="B132">
        <v>13076</v>
      </c>
      <c r="C132">
        <v>58032</v>
      </c>
    </row>
    <row r="133" spans="1:12">
      <c r="A133" t="s">
        <v>293</v>
      </c>
      <c r="B133">
        <v>14751</v>
      </c>
      <c r="C133">
        <v>129690</v>
      </c>
    </row>
    <row r="134" spans="1:12">
      <c r="A134" t="s">
        <v>272</v>
      </c>
      <c r="B134">
        <v>6283</v>
      </c>
      <c r="C134">
        <v>40571</v>
      </c>
    </row>
    <row r="135" spans="1:12">
      <c r="A135" t="s">
        <v>434</v>
      </c>
      <c r="B135">
        <v>536634</v>
      </c>
      <c r="C135">
        <v>2883862</v>
      </c>
    </row>
    <row r="136" spans="1:12">
      <c r="A136" t="s">
        <v>304</v>
      </c>
      <c r="B136">
        <v>240076</v>
      </c>
      <c r="C136">
        <v>1406539</v>
      </c>
    </row>
    <row r="137" spans="1:12">
      <c r="A137" t="s">
        <v>486</v>
      </c>
      <c r="B137">
        <v>57056</v>
      </c>
      <c r="C137">
        <v>296399</v>
      </c>
    </row>
    <row r="138" spans="1:12">
      <c r="A138" t="s">
        <v>94</v>
      </c>
      <c r="B138">
        <v>102035</v>
      </c>
      <c r="C138">
        <v>738223</v>
      </c>
      <c r="J138">
        <v>4000</v>
      </c>
    </row>
    <row r="139" spans="1:12">
      <c r="A139" t="s">
        <v>419</v>
      </c>
      <c r="B139">
        <v>5219</v>
      </c>
      <c r="C139">
        <v>59555</v>
      </c>
    </row>
    <row r="140" spans="1:12">
      <c r="A140" t="s">
        <v>207</v>
      </c>
      <c r="B140">
        <v>238600</v>
      </c>
      <c r="C140">
        <v>720803</v>
      </c>
    </row>
    <row r="141" spans="1:12">
      <c r="A141" t="s">
        <v>75</v>
      </c>
      <c r="B141">
        <v>77428</v>
      </c>
      <c r="C141">
        <v>439895</v>
      </c>
      <c r="L141">
        <v>110000</v>
      </c>
    </row>
    <row r="142" spans="1:12">
      <c r="A142" t="s">
        <v>53</v>
      </c>
      <c r="B142">
        <v>134408</v>
      </c>
      <c r="C142">
        <v>788465</v>
      </c>
      <c r="J142">
        <v>500</v>
      </c>
    </row>
    <row r="143" spans="1:12">
      <c r="A143" t="s">
        <v>312</v>
      </c>
      <c r="B143">
        <v>178300</v>
      </c>
      <c r="C143">
        <v>1070148</v>
      </c>
    </row>
    <row r="144" spans="1:12">
      <c r="A144" t="s">
        <v>16</v>
      </c>
      <c r="B144">
        <v>26991</v>
      </c>
      <c r="C144">
        <v>169765</v>
      </c>
    </row>
    <row r="145" spans="1:12">
      <c r="A145" t="s">
        <v>262</v>
      </c>
      <c r="B145">
        <v>309665</v>
      </c>
      <c r="C145">
        <v>1106946</v>
      </c>
      <c r="J145">
        <v>4000</v>
      </c>
      <c r="L145">
        <v>750000</v>
      </c>
    </row>
    <row r="146" spans="1:12">
      <c r="A146" t="s">
        <v>114</v>
      </c>
      <c r="B146">
        <v>276114</v>
      </c>
      <c r="C146">
        <v>1070794</v>
      </c>
      <c r="E146">
        <v>1500</v>
      </c>
      <c r="J146">
        <v>3500</v>
      </c>
      <c r="L146">
        <v>150000</v>
      </c>
    </row>
    <row r="147" spans="1:12">
      <c r="A147" t="s">
        <v>393</v>
      </c>
      <c r="B147">
        <v>85768</v>
      </c>
      <c r="C147">
        <v>410583</v>
      </c>
      <c r="J147">
        <v>4000</v>
      </c>
    </row>
    <row r="148" spans="1:12">
      <c r="A148" t="s">
        <v>287</v>
      </c>
      <c r="B148">
        <v>878073</v>
      </c>
      <c r="C148">
        <v>3885234</v>
      </c>
      <c r="J148">
        <v>40000</v>
      </c>
      <c r="L148">
        <v>324191</v>
      </c>
    </row>
    <row r="149" spans="1:12">
      <c r="A149" t="s">
        <v>300</v>
      </c>
      <c r="B149">
        <v>104491</v>
      </c>
      <c r="C149">
        <v>388335</v>
      </c>
      <c r="J149">
        <v>500</v>
      </c>
    </row>
    <row r="150" spans="1:12">
      <c r="A150" t="s">
        <v>285</v>
      </c>
      <c r="B150">
        <v>969881</v>
      </c>
      <c r="C150">
        <v>4543542</v>
      </c>
      <c r="E150">
        <v>15000</v>
      </c>
      <c r="J150">
        <v>25000</v>
      </c>
    </row>
    <row r="151" spans="1:12">
      <c r="A151" t="s">
        <v>541</v>
      </c>
      <c r="B151">
        <v>14886</v>
      </c>
      <c r="C151">
        <v>78331</v>
      </c>
    </row>
    <row r="152" spans="1:12">
      <c r="A152" t="s">
        <v>368</v>
      </c>
      <c r="B152">
        <v>133117</v>
      </c>
      <c r="C152">
        <v>743462</v>
      </c>
    </row>
    <row r="153" spans="1:12">
      <c r="A153" t="s">
        <v>55</v>
      </c>
      <c r="B153">
        <v>12097</v>
      </c>
      <c r="C153">
        <v>125254</v>
      </c>
      <c r="L153">
        <v>12000</v>
      </c>
    </row>
    <row r="154" spans="1:12">
      <c r="A154" t="s">
        <v>145</v>
      </c>
      <c r="B154">
        <v>27203</v>
      </c>
      <c r="C154">
        <v>116898</v>
      </c>
    </row>
    <row r="155" spans="1:12">
      <c r="A155" t="s">
        <v>106</v>
      </c>
      <c r="B155">
        <v>61983</v>
      </c>
      <c r="C155">
        <v>305181</v>
      </c>
    </row>
    <row r="156" spans="1:12">
      <c r="A156" t="s">
        <v>306</v>
      </c>
      <c r="B156">
        <v>57292</v>
      </c>
      <c r="C156">
        <v>248269</v>
      </c>
    </row>
    <row r="157" spans="1:12">
      <c r="A157" t="s">
        <v>447</v>
      </c>
      <c r="B157">
        <v>20980</v>
      </c>
      <c r="C157">
        <v>152746</v>
      </c>
    </row>
    <row r="158" spans="1:12">
      <c r="A158" t="s">
        <v>226</v>
      </c>
      <c r="B158">
        <v>98349</v>
      </c>
      <c r="C158">
        <v>740049</v>
      </c>
      <c r="K158">
        <v>2672</v>
      </c>
    </row>
    <row r="159" spans="1:12">
      <c r="A159" t="s">
        <v>571</v>
      </c>
      <c r="B159">
        <v>35420</v>
      </c>
      <c r="C159">
        <v>258675</v>
      </c>
    </row>
    <row r="160" spans="1:12">
      <c r="A160" t="s">
        <v>439</v>
      </c>
      <c r="B160">
        <v>17295</v>
      </c>
      <c r="C160">
        <v>240910</v>
      </c>
    </row>
    <row r="161" spans="1:12">
      <c r="A161" t="s">
        <v>561</v>
      </c>
      <c r="B161">
        <v>937272</v>
      </c>
      <c r="C161">
        <v>5952244</v>
      </c>
      <c r="L161">
        <v>193000</v>
      </c>
    </row>
    <row r="162" spans="1:12">
      <c r="A162" t="s">
        <v>496</v>
      </c>
      <c r="B162">
        <v>306510</v>
      </c>
      <c r="C162">
        <v>1646114</v>
      </c>
    </row>
    <row r="163" spans="1:12">
      <c r="A163" t="s">
        <v>397</v>
      </c>
      <c r="B163">
        <v>133652</v>
      </c>
      <c r="C163">
        <v>1032123</v>
      </c>
      <c r="E163">
        <v>14000</v>
      </c>
    </row>
    <row r="164" spans="1:12">
      <c r="A164" t="s">
        <v>50</v>
      </c>
      <c r="B164">
        <v>481537</v>
      </c>
      <c r="C164">
        <v>3297795</v>
      </c>
      <c r="E164">
        <v>10000</v>
      </c>
      <c r="G164">
        <v>15000</v>
      </c>
      <c r="J164">
        <v>25000</v>
      </c>
    </row>
    <row r="165" spans="1:12">
      <c r="A165" t="s">
        <v>336</v>
      </c>
      <c r="B165">
        <v>47857</v>
      </c>
      <c r="C165">
        <v>346656</v>
      </c>
      <c r="G165">
        <v>25000</v>
      </c>
    </row>
    <row r="166" spans="1:12">
      <c r="A166" t="s">
        <v>97</v>
      </c>
      <c r="B166">
        <v>16586</v>
      </c>
      <c r="C166">
        <v>180949</v>
      </c>
      <c r="G166">
        <v>57296</v>
      </c>
    </row>
    <row r="167" spans="1:12">
      <c r="A167" t="s">
        <v>112</v>
      </c>
      <c r="B167">
        <v>1355499</v>
      </c>
      <c r="C167">
        <v>8277554</v>
      </c>
    </row>
    <row r="168" spans="1:12">
      <c r="A168" t="s">
        <v>108</v>
      </c>
      <c r="B168">
        <v>273817</v>
      </c>
      <c r="C168">
        <v>1366602</v>
      </c>
      <c r="G168">
        <v>5000</v>
      </c>
    </row>
    <row r="169" spans="1:12">
      <c r="A169" t="s">
        <v>526</v>
      </c>
      <c r="B169">
        <v>180642</v>
      </c>
      <c r="C169">
        <v>1059275</v>
      </c>
    </row>
    <row r="170" spans="1:12">
      <c r="A170" t="s">
        <v>388</v>
      </c>
      <c r="B170">
        <v>72926</v>
      </c>
      <c r="C170">
        <v>425831</v>
      </c>
    </row>
    <row r="171" spans="1:12">
      <c r="A171" t="s">
        <v>47</v>
      </c>
      <c r="B171">
        <v>121720</v>
      </c>
      <c r="C171">
        <v>802775</v>
      </c>
    </row>
    <row r="172" spans="1:12">
      <c r="A172" t="s">
        <v>264</v>
      </c>
      <c r="B172">
        <v>212456</v>
      </c>
      <c r="C172">
        <v>1164276</v>
      </c>
      <c r="H172">
        <v>58629</v>
      </c>
      <c r="J172">
        <v>2000</v>
      </c>
    </row>
    <row r="173" spans="1:12">
      <c r="A173" t="s">
        <v>163</v>
      </c>
      <c r="B173">
        <v>111009</v>
      </c>
      <c r="C173">
        <v>631220</v>
      </c>
      <c r="J173">
        <v>20000</v>
      </c>
    </row>
    <row r="174" spans="1:12">
      <c r="A174" t="s">
        <v>330</v>
      </c>
      <c r="B174">
        <v>344730</v>
      </c>
      <c r="C174">
        <v>1358517</v>
      </c>
    </row>
    <row r="175" spans="1:12">
      <c r="A175" t="s">
        <v>366</v>
      </c>
      <c r="B175">
        <v>120535</v>
      </c>
      <c r="C175">
        <v>637823</v>
      </c>
    </row>
    <row r="176" spans="1:12">
      <c r="A176" t="s">
        <v>85</v>
      </c>
      <c r="B176">
        <v>155038</v>
      </c>
      <c r="C176">
        <v>712299</v>
      </c>
    </row>
    <row r="177" spans="1:12">
      <c r="A177" t="s">
        <v>96</v>
      </c>
      <c r="B177">
        <v>67550</v>
      </c>
      <c r="C177">
        <v>340710</v>
      </c>
    </row>
    <row r="178" spans="1:12">
      <c r="A178" t="s">
        <v>308</v>
      </c>
      <c r="B178">
        <v>84981</v>
      </c>
      <c r="C178">
        <v>429439</v>
      </c>
    </row>
    <row r="179" spans="1:12">
      <c r="A179" t="s">
        <v>316</v>
      </c>
      <c r="B179">
        <v>3968</v>
      </c>
      <c r="C179">
        <v>64090</v>
      </c>
    </row>
    <row r="180" spans="1:12">
      <c r="A180" t="s">
        <v>99</v>
      </c>
      <c r="B180">
        <v>364833</v>
      </c>
      <c r="C180">
        <v>1387561</v>
      </c>
      <c r="J180">
        <v>70000</v>
      </c>
    </row>
    <row r="181" spans="1:12">
      <c r="A181" t="s">
        <v>404</v>
      </c>
      <c r="B181">
        <v>66155</v>
      </c>
      <c r="C181">
        <v>415698</v>
      </c>
      <c r="G181">
        <v>7800</v>
      </c>
      <c r="J181">
        <v>2500</v>
      </c>
    </row>
    <row r="182" spans="1:12">
      <c r="A182" t="s">
        <v>555</v>
      </c>
      <c r="B182">
        <v>77792</v>
      </c>
      <c r="C182">
        <v>368394</v>
      </c>
    </row>
    <row r="183" spans="1:12">
      <c r="A183" t="s">
        <v>65</v>
      </c>
      <c r="B183">
        <v>785817</v>
      </c>
      <c r="C183">
        <v>4092548</v>
      </c>
      <c r="E183">
        <v>500</v>
      </c>
      <c r="G183">
        <v>30000</v>
      </c>
      <c r="J183">
        <v>2000</v>
      </c>
    </row>
    <row r="184" spans="1:12">
      <c r="A184" t="s">
        <v>352</v>
      </c>
      <c r="B184">
        <v>6640464</v>
      </c>
      <c r="C184">
        <v>30738952</v>
      </c>
      <c r="J184">
        <v>160000</v>
      </c>
      <c r="L184">
        <v>1500000</v>
      </c>
    </row>
    <row r="185" spans="1:12">
      <c r="A185" t="s">
        <v>250</v>
      </c>
      <c r="B185">
        <v>9169882</v>
      </c>
      <c r="C185">
        <v>44415152</v>
      </c>
      <c r="J185">
        <v>300000</v>
      </c>
      <c r="L185">
        <v>1885009</v>
      </c>
    </row>
    <row r="186" spans="1:12">
      <c r="A186" t="s">
        <v>538</v>
      </c>
      <c r="B186">
        <v>25425</v>
      </c>
      <c r="C186">
        <v>243181</v>
      </c>
    </row>
    <row r="187" spans="1:12">
      <c r="A187" t="s">
        <v>193</v>
      </c>
      <c r="B187">
        <v>1492730</v>
      </c>
      <c r="C187">
        <v>5966208</v>
      </c>
      <c r="E187">
        <v>5000</v>
      </c>
      <c r="G187">
        <v>10000</v>
      </c>
      <c r="J187">
        <v>15000</v>
      </c>
    </row>
    <row r="188" spans="1:12">
      <c r="A188" t="s">
        <v>246</v>
      </c>
      <c r="B188">
        <v>2661704</v>
      </c>
      <c r="C188">
        <v>13601083</v>
      </c>
      <c r="J188">
        <v>50000</v>
      </c>
      <c r="L188">
        <v>30000</v>
      </c>
    </row>
    <row r="189" spans="1:12">
      <c r="A189" t="s">
        <v>357</v>
      </c>
      <c r="B189">
        <v>319205</v>
      </c>
      <c r="C189">
        <v>1657918</v>
      </c>
      <c r="E189">
        <v>1700</v>
      </c>
      <c r="J189">
        <v>5000</v>
      </c>
    </row>
    <row r="190" spans="1:12">
      <c r="A190" t="s">
        <v>165</v>
      </c>
      <c r="B190">
        <v>803811</v>
      </c>
      <c r="C190">
        <v>4524506</v>
      </c>
      <c r="E190">
        <v>2000</v>
      </c>
      <c r="J190">
        <v>6200</v>
      </c>
    </row>
    <row r="191" spans="1:12">
      <c r="A191" t="s">
        <v>25</v>
      </c>
      <c r="B191">
        <v>5224028</v>
      </c>
      <c r="C191">
        <v>20251120</v>
      </c>
      <c r="D191">
        <v>1995924</v>
      </c>
      <c r="E191">
        <v>20000</v>
      </c>
      <c r="G191">
        <v>1000000</v>
      </c>
      <c r="J191">
        <v>35000</v>
      </c>
      <c r="L191">
        <v>450000</v>
      </c>
    </row>
    <row r="192" spans="1:12">
      <c r="A192" t="s">
        <v>395</v>
      </c>
      <c r="B192">
        <v>2397568</v>
      </c>
      <c r="C192">
        <v>13184018</v>
      </c>
    </row>
    <row r="193" spans="1:12">
      <c r="A193" t="s">
        <v>426</v>
      </c>
      <c r="B193">
        <v>2422743</v>
      </c>
      <c r="C193">
        <v>10073351</v>
      </c>
      <c r="J193">
        <v>100000</v>
      </c>
    </row>
    <row r="194" spans="1:12">
      <c r="A194" t="s">
        <v>201</v>
      </c>
      <c r="B194">
        <v>6491173</v>
      </c>
      <c r="C194">
        <v>26846192</v>
      </c>
      <c r="E194">
        <v>40000</v>
      </c>
      <c r="G194">
        <v>65413</v>
      </c>
      <c r="J194">
        <v>100000</v>
      </c>
      <c r="L194">
        <v>45000</v>
      </c>
    </row>
    <row r="195" spans="1:12">
      <c r="A195" t="s">
        <v>236</v>
      </c>
      <c r="B195">
        <v>356438</v>
      </c>
      <c r="C195">
        <v>2032522</v>
      </c>
      <c r="E195">
        <v>2000</v>
      </c>
      <c r="J195">
        <v>5000</v>
      </c>
    </row>
    <row r="196" spans="1:12">
      <c r="A196" t="s">
        <v>302</v>
      </c>
      <c r="B196">
        <v>1203245</v>
      </c>
      <c r="C196">
        <v>5776978</v>
      </c>
      <c r="D196">
        <v>174566</v>
      </c>
      <c r="J196">
        <v>6000</v>
      </c>
      <c r="L196">
        <v>60000</v>
      </c>
    </row>
    <row r="197" spans="1:12">
      <c r="A197" t="s">
        <v>422</v>
      </c>
      <c r="B197">
        <v>1066623</v>
      </c>
      <c r="C197">
        <v>4705057</v>
      </c>
      <c r="J197">
        <v>40000</v>
      </c>
    </row>
    <row r="198" spans="1:12">
      <c r="A198" t="s">
        <v>1509</v>
      </c>
      <c r="B198">
        <v>8958</v>
      </c>
      <c r="C198">
        <v>123882</v>
      </c>
    </row>
    <row r="199" spans="1:12">
      <c r="A199" t="s">
        <v>934</v>
      </c>
      <c r="B199">
        <v>35688</v>
      </c>
      <c r="C199">
        <v>251967</v>
      </c>
    </row>
    <row r="200" spans="1:12">
      <c r="A200" t="s">
        <v>118</v>
      </c>
      <c r="B200">
        <v>99657</v>
      </c>
      <c r="C200">
        <v>894255</v>
      </c>
      <c r="J200">
        <v>10000</v>
      </c>
      <c r="L200">
        <v>73500</v>
      </c>
    </row>
    <row r="201" spans="1:12">
      <c r="A201" t="s">
        <v>470</v>
      </c>
      <c r="B201">
        <v>47097</v>
      </c>
      <c r="C201">
        <v>400775</v>
      </c>
      <c r="J201">
        <v>10000</v>
      </c>
    </row>
    <row r="202" spans="1:12">
      <c r="A202" t="s">
        <v>546</v>
      </c>
      <c r="B202">
        <v>175866</v>
      </c>
      <c r="C202">
        <v>1141614</v>
      </c>
      <c r="E202">
        <v>7550</v>
      </c>
      <c r="J202">
        <v>15000</v>
      </c>
      <c r="L202">
        <v>80041</v>
      </c>
    </row>
    <row r="203" spans="1:12">
      <c r="A203" t="s">
        <v>136</v>
      </c>
      <c r="B203">
        <v>157076</v>
      </c>
      <c r="C203">
        <v>693147</v>
      </c>
    </row>
    <row r="204" spans="1:12">
      <c r="A204" t="s">
        <v>532</v>
      </c>
      <c r="B204">
        <v>871248</v>
      </c>
      <c r="C204">
        <v>4895933</v>
      </c>
      <c r="J204">
        <v>100000</v>
      </c>
    </row>
    <row r="205" spans="1:12">
      <c r="A205" t="s">
        <v>551</v>
      </c>
      <c r="B205">
        <v>1504883</v>
      </c>
      <c r="C205">
        <v>6784337</v>
      </c>
      <c r="J205">
        <v>60000</v>
      </c>
      <c r="L205">
        <v>70000</v>
      </c>
    </row>
    <row r="206" spans="1:12">
      <c r="A206" t="s">
        <v>182</v>
      </c>
      <c r="B206">
        <v>545005</v>
      </c>
      <c r="C206">
        <v>3484714</v>
      </c>
      <c r="J206">
        <v>70000</v>
      </c>
    </row>
    <row r="207" spans="1:12">
      <c r="A207" t="s">
        <v>295</v>
      </c>
      <c r="B207">
        <v>115402</v>
      </c>
      <c r="C207">
        <v>799279</v>
      </c>
      <c r="G207">
        <v>68000</v>
      </c>
      <c r="J207">
        <v>3500</v>
      </c>
    </row>
    <row r="208" spans="1:12">
      <c r="A208" t="s">
        <v>138</v>
      </c>
      <c r="B208">
        <v>57487</v>
      </c>
      <c r="C208">
        <v>461672</v>
      </c>
      <c r="J208">
        <v>6000</v>
      </c>
    </row>
    <row r="209" spans="1:12">
      <c r="A209" t="s">
        <v>89</v>
      </c>
      <c r="B209">
        <v>2060087</v>
      </c>
      <c r="C209">
        <v>10167682</v>
      </c>
      <c r="J209">
        <v>100000</v>
      </c>
    </row>
    <row r="210" spans="1:12">
      <c r="A210" t="s">
        <v>565</v>
      </c>
      <c r="B210">
        <v>14888</v>
      </c>
      <c r="C210">
        <v>72850</v>
      </c>
    </row>
    <row r="211" spans="1:12">
      <c r="A211" t="s">
        <v>87</v>
      </c>
      <c r="B211">
        <v>7129</v>
      </c>
      <c r="C211">
        <v>44964</v>
      </c>
    </row>
    <row r="212" spans="1:12">
      <c r="A212" t="s">
        <v>69</v>
      </c>
      <c r="B212">
        <v>10141</v>
      </c>
      <c r="C212">
        <v>73260</v>
      </c>
    </row>
    <row r="213" spans="1:12">
      <c r="A213" t="s">
        <v>5</v>
      </c>
      <c r="B213">
        <v>202943</v>
      </c>
      <c r="C213">
        <v>1093130</v>
      </c>
    </row>
    <row r="214" spans="1:12">
      <c r="A214" t="s">
        <v>513</v>
      </c>
      <c r="B214">
        <v>7416523</v>
      </c>
      <c r="C214">
        <v>30779048</v>
      </c>
    </row>
    <row r="215" spans="1:12">
      <c r="A215" t="s">
        <v>126</v>
      </c>
      <c r="B215">
        <v>3337612</v>
      </c>
      <c r="C215">
        <v>14867260</v>
      </c>
      <c r="E215">
        <v>13000</v>
      </c>
      <c r="J215">
        <v>40000</v>
      </c>
    </row>
    <row r="216" spans="1:12">
      <c r="A216" t="s">
        <v>90</v>
      </c>
      <c r="B216">
        <v>5758319</v>
      </c>
      <c r="C216">
        <v>24598725</v>
      </c>
    </row>
    <row r="217" spans="1:12">
      <c r="A217" t="s">
        <v>238</v>
      </c>
      <c r="B217">
        <v>8203363</v>
      </c>
      <c r="C217">
        <v>32593305</v>
      </c>
      <c r="J217">
        <v>250000</v>
      </c>
      <c r="L217">
        <v>2960000</v>
      </c>
    </row>
    <row r="218" spans="1:12">
      <c r="A218" t="s">
        <v>471</v>
      </c>
      <c r="B218">
        <v>1785886</v>
      </c>
      <c r="C218">
        <v>8268186</v>
      </c>
      <c r="E218">
        <v>34000</v>
      </c>
      <c r="J218">
        <v>70000</v>
      </c>
      <c r="L218">
        <v>20000</v>
      </c>
    </row>
    <row r="219" spans="1:12">
      <c r="A219" t="s">
        <v>499</v>
      </c>
      <c r="B219">
        <v>4384174</v>
      </c>
      <c r="C219">
        <v>17169247</v>
      </c>
      <c r="E219">
        <v>50000</v>
      </c>
      <c r="G219">
        <v>195546</v>
      </c>
      <c r="J219">
        <v>125000</v>
      </c>
    </row>
    <row r="220" spans="1:12">
      <c r="A220" t="s">
        <v>342</v>
      </c>
      <c r="B220">
        <v>1261</v>
      </c>
      <c r="C220">
        <v>20672</v>
      </c>
    </row>
    <row r="221" spans="1:12">
      <c r="A221" t="s">
        <v>71</v>
      </c>
      <c r="B221">
        <v>1419757</v>
      </c>
      <c r="C221">
        <v>8569283</v>
      </c>
      <c r="J221">
        <v>25000</v>
      </c>
    </row>
    <row r="222" spans="1:12">
      <c r="A222" t="s">
        <v>79</v>
      </c>
      <c r="B222">
        <v>2453523</v>
      </c>
      <c r="C222">
        <v>14050600</v>
      </c>
      <c r="J222">
        <v>20000</v>
      </c>
    </row>
    <row r="223" spans="1:12">
      <c r="A223" t="s">
        <v>130</v>
      </c>
      <c r="B223">
        <v>953002</v>
      </c>
      <c r="C223">
        <v>4155561</v>
      </c>
    </row>
    <row r="224" spans="1:12">
      <c r="A224" t="s">
        <v>7</v>
      </c>
      <c r="B224">
        <v>828180</v>
      </c>
      <c r="C224">
        <v>3048795</v>
      </c>
    </row>
    <row r="225" spans="1:12">
      <c r="A225" t="s">
        <v>224</v>
      </c>
      <c r="B225">
        <v>74290</v>
      </c>
      <c r="C225">
        <v>596304</v>
      </c>
      <c r="J225">
        <v>6500</v>
      </c>
    </row>
    <row r="226" spans="1:12">
      <c r="A226" t="s">
        <v>313</v>
      </c>
      <c r="B226">
        <v>886950</v>
      </c>
      <c r="C226">
        <v>4518438</v>
      </c>
    </row>
    <row r="227" spans="1:12">
      <c r="A227" t="s">
        <v>57</v>
      </c>
      <c r="B227">
        <v>1594706</v>
      </c>
      <c r="C227">
        <v>8373955</v>
      </c>
    </row>
    <row r="228" spans="1:12">
      <c r="A228" t="s">
        <v>573</v>
      </c>
      <c r="B228">
        <v>9467367</v>
      </c>
      <c r="C228">
        <v>40215185</v>
      </c>
      <c r="J228">
        <v>303316</v>
      </c>
      <c r="L228">
        <v>191140</v>
      </c>
    </row>
    <row r="229" spans="1:12">
      <c r="A229" t="s">
        <v>119</v>
      </c>
      <c r="B229">
        <v>2319</v>
      </c>
      <c r="C229">
        <v>16110</v>
      </c>
    </row>
    <row r="230" spans="1:12">
      <c r="A230" t="s">
        <v>441</v>
      </c>
      <c r="B230">
        <v>3055</v>
      </c>
      <c r="C230">
        <v>45896</v>
      </c>
    </row>
    <row r="231" spans="1:12">
      <c r="A231" t="s">
        <v>101</v>
      </c>
      <c r="B231">
        <v>341128</v>
      </c>
      <c r="C231">
        <v>1801893</v>
      </c>
    </row>
    <row r="232" spans="1:12">
      <c r="A232" t="s">
        <v>41</v>
      </c>
      <c r="B232">
        <v>324164</v>
      </c>
      <c r="C232">
        <v>2619225</v>
      </c>
      <c r="D232">
        <v>193814</v>
      </c>
      <c r="G232">
        <v>106500</v>
      </c>
      <c r="J232">
        <v>6000</v>
      </c>
      <c r="L232">
        <v>25000</v>
      </c>
    </row>
    <row r="233" spans="1:12">
      <c r="A233" t="s">
        <v>39</v>
      </c>
      <c r="B233">
        <v>3582845</v>
      </c>
      <c r="C233">
        <v>13714049</v>
      </c>
    </row>
    <row r="234" spans="1:12">
      <c r="A234" t="s">
        <v>283</v>
      </c>
      <c r="B234">
        <v>5648859</v>
      </c>
      <c r="C234">
        <v>20025128</v>
      </c>
      <c r="E234">
        <v>50000</v>
      </c>
      <c r="J234">
        <v>200000</v>
      </c>
    </row>
    <row r="235" spans="1:12">
      <c r="A235" t="s">
        <v>428</v>
      </c>
      <c r="B235">
        <v>165539</v>
      </c>
      <c r="C235">
        <v>1135321</v>
      </c>
    </row>
    <row r="236" spans="1:12">
      <c r="A236" t="s">
        <v>289</v>
      </c>
      <c r="B236">
        <v>1410930</v>
      </c>
      <c r="C236">
        <v>7139403</v>
      </c>
      <c r="J236">
        <v>100000</v>
      </c>
    </row>
    <row r="237" spans="1:12">
      <c r="A237" t="s">
        <v>230</v>
      </c>
      <c r="B237">
        <v>1236556</v>
      </c>
      <c r="C237">
        <v>4930547</v>
      </c>
    </row>
    <row r="238" spans="1:12">
      <c r="A238" t="s">
        <v>462</v>
      </c>
      <c r="B238">
        <v>111630</v>
      </c>
      <c r="C238">
        <v>657381</v>
      </c>
    </row>
    <row r="239" spans="1:12">
      <c r="A239" t="s">
        <v>298</v>
      </c>
      <c r="B239">
        <v>641732</v>
      </c>
      <c r="C239">
        <v>4317826</v>
      </c>
      <c r="J239">
        <v>115000</v>
      </c>
      <c r="L239">
        <v>20000</v>
      </c>
    </row>
    <row r="240" spans="1:12">
      <c r="A240" t="s">
        <v>355</v>
      </c>
      <c r="B240">
        <v>510286</v>
      </c>
      <c r="C240">
        <v>2870970</v>
      </c>
    </row>
    <row r="241" spans="1:10">
      <c r="A241" t="s">
        <v>380</v>
      </c>
      <c r="B241">
        <v>373266</v>
      </c>
      <c r="C241">
        <v>1933777</v>
      </c>
    </row>
    <row r="242" spans="1:10">
      <c r="A242" t="s">
        <v>937</v>
      </c>
      <c r="B242">
        <v>69519</v>
      </c>
      <c r="C242">
        <v>848577</v>
      </c>
    </row>
    <row r="243" spans="1:10">
      <c r="A243" t="s">
        <v>1052</v>
      </c>
      <c r="B243">
        <v>9500</v>
      </c>
      <c r="C243">
        <v>55043</v>
      </c>
    </row>
    <row r="244" spans="1:10">
      <c r="A244" t="s">
        <v>936</v>
      </c>
      <c r="B244">
        <v>78801</v>
      </c>
      <c r="C244">
        <v>666231</v>
      </c>
    </row>
    <row r="245" spans="1:10">
      <c r="A245" t="s">
        <v>116</v>
      </c>
      <c r="B245">
        <v>3967</v>
      </c>
      <c r="C245">
        <v>48333</v>
      </c>
    </row>
    <row r="246" spans="1:10">
      <c r="A246" t="s">
        <v>291</v>
      </c>
      <c r="B246">
        <v>207724</v>
      </c>
      <c r="C246">
        <v>995412</v>
      </c>
      <c r="J246">
        <v>15000</v>
      </c>
    </row>
    <row r="247" spans="1:10">
      <c r="A247" t="s">
        <v>522</v>
      </c>
      <c r="B247">
        <v>66813</v>
      </c>
      <c r="C247">
        <v>538900</v>
      </c>
      <c r="G247">
        <v>35000</v>
      </c>
    </row>
    <row r="248" spans="1:10">
      <c r="A248" t="s">
        <v>278</v>
      </c>
      <c r="B248">
        <v>105927</v>
      </c>
      <c r="C248">
        <v>1026008</v>
      </c>
    </row>
    <row r="249" spans="1:10">
      <c r="A249" t="s">
        <v>134</v>
      </c>
      <c r="B249">
        <v>507220</v>
      </c>
      <c r="C249">
        <v>2221028</v>
      </c>
    </row>
    <row r="250" spans="1:10">
      <c r="A250" t="s">
        <v>468</v>
      </c>
      <c r="B250">
        <v>19774</v>
      </c>
      <c r="C250">
        <v>128940</v>
      </c>
    </row>
    <row r="251" spans="1:10">
      <c r="A251" t="s">
        <v>9</v>
      </c>
      <c r="B251">
        <v>18626</v>
      </c>
      <c r="C251">
        <v>83802</v>
      </c>
    </row>
    <row r="252" spans="1:10">
      <c r="A252" t="s">
        <v>516</v>
      </c>
      <c r="B252">
        <v>1283</v>
      </c>
      <c r="C252">
        <v>20257</v>
      </c>
    </row>
    <row r="253" spans="1:10">
      <c r="A253" t="s">
        <v>150</v>
      </c>
      <c r="B253">
        <v>13965</v>
      </c>
      <c r="C253">
        <v>145049</v>
      </c>
      <c r="G253">
        <v>15000</v>
      </c>
    </row>
    <row r="254" spans="1:10">
      <c r="A254" t="s">
        <v>497</v>
      </c>
      <c r="B254">
        <v>105967</v>
      </c>
      <c r="C254">
        <v>616491</v>
      </c>
    </row>
    <row r="255" spans="1:10">
      <c r="A255" t="s">
        <v>320</v>
      </c>
      <c r="B255">
        <v>32013</v>
      </c>
      <c r="C255">
        <v>205794</v>
      </c>
      <c r="H255">
        <v>14175</v>
      </c>
    </row>
    <row r="256" spans="1:10">
      <c r="A256" t="s">
        <v>479</v>
      </c>
      <c r="B256">
        <v>211213</v>
      </c>
      <c r="C256">
        <v>1394483</v>
      </c>
    </row>
    <row r="257" spans="1:10">
      <c r="A257" t="s">
        <v>181</v>
      </c>
      <c r="B257">
        <v>1430210</v>
      </c>
      <c r="C257">
        <v>8272791</v>
      </c>
      <c r="G257">
        <v>50000</v>
      </c>
      <c r="J257">
        <v>35000</v>
      </c>
    </row>
    <row r="258" spans="1:10">
      <c r="A258" t="s">
        <v>318</v>
      </c>
      <c r="B258">
        <v>4873114</v>
      </c>
      <c r="C258">
        <v>22409438</v>
      </c>
      <c r="G258">
        <v>115000</v>
      </c>
    </row>
    <row r="259" spans="1:10">
      <c r="A259" t="s">
        <v>189</v>
      </c>
      <c r="B259">
        <v>1799544</v>
      </c>
      <c r="C259">
        <v>8564062</v>
      </c>
    </row>
    <row r="260" spans="1:10">
      <c r="A260" t="s">
        <v>110</v>
      </c>
      <c r="B260">
        <v>3274844</v>
      </c>
      <c r="C260">
        <v>13905434</v>
      </c>
    </row>
    <row r="261" spans="1:10">
      <c r="A261" t="s">
        <v>364</v>
      </c>
      <c r="B261">
        <v>225316</v>
      </c>
      <c r="C261">
        <v>1205320</v>
      </c>
    </row>
    <row r="262" spans="1:10">
      <c r="A262" t="s">
        <v>445</v>
      </c>
      <c r="B262">
        <v>88267</v>
      </c>
      <c r="C262">
        <v>718633</v>
      </c>
      <c r="J262">
        <v>7500</v>
      </c>
    </row>
    <row r="263" spans="1:10">
      <c r="A263" t="s">
        <v>270</v>
      </c>
      <c r="B263">
        <v>468345</v>
      </c>
      <c r="C263">
        <v>2798587</v>
      </c>
      <c r="J263">
        <v>13000</v>
      </c>
    </row>
    <row r="264" spans="1:10">
      <c r="A264" t="s">
        <v>258</v>
      </c>
      <c r="B264">
        <v>442109</v>
      </c>
      <c r="C264">
        <v>1664119</v>
      </c>
      <c r="J264">
        <v>25000</v>
      </c>
    </row>
    <row r="265" spans="1:10">
      <c r="A265" t="s">
        <v>503</v>
      </c>
      <c r="B265">
        <v>110006</v>
      </c>
      <c r="C265">
        <v>568797</v>
      </c>
    </row>
    <row r="266" spans="1:10">
      <c r="A266" t="s">
        <v>359</v>
      </c>
      <c r="B266">
        <v>3780</v>
      </c>
      <c r="C266">
        <v>20631</v>
      </c>
    </row>
    <row r="267" spans="1:10">
      <c r="A267" t="s">
        <v>509</v>
      </c>
      <c r="B267">
        <v>1780558</v>
      </c>
      <c r="C267">
        <v>7275829</v>
      </c>
    </row>
    <row r="268" spans="1:10">
      <c r="A268" t="s">
        <v>29</v>
      </c>
      <c r="B268">
        <v>515218</v>
      </c>
      <c r="C268">
        <v>2206312</v>
      </c>
    </row>
    <row r="269" spans="1:10">
      <c r="A269" t="s">
        <v>268</v>
      </c>
      <c r="B269">
        <v>19002</v>
      </c>
      <c r="C269">
        <v>254336</v>
      </c>
    </row>
    <row r="270" spans="1:10">
      <c r="A270" t="s">
        <v>133</v>
      </c>
      <c r="B270">
        <v>125927</v>
      </c>
      <c r="C270">
        <v>1018748</v>
      </c>
    </row>
    <row r="271" spans="1:10">
      <c r="A271" t="s">
        <v>507</v>
      </c>
      <c r="B271">
        <v>24123</v>
      </c>
      <c r="C271">
        <v>284962</v>
      </c>
    </row>
    <row r="272" spans="1:10">
      <c r="A272" t="s">
        <v>386</v>
      </c>
      <c r="B272">
        <v>52722</v>
      </c>
      <c r="C272">
        <v>385797</v>
      </c>
      <c r="H272">
        <v>15000</v>
      </c>
    </row>
    <row r="273" spans="1:10">
      <c r="A273" t="s">
        <v>197</v>
      </c>
      <c r="B273">
        <v>3504788</v>
      </c>
      <c r="C273">
        <v>15596752</v>
      </c>
    </row>
    <row r="274" spans="1:10">
      <c r="A274" t="s">
        <v>420</v>
      </c>
      <c r="B274">
        <v>1388687</v>
      </c>
      <c r="C274">
        <v>6612366</v>
      </c>
      <c r="G274">
        <v>92882</v>
      </c>
    </row>
    <row r="275" spans="1:10">
      <c r="A275" t="s">
        <v>14</v>
      </c>
      <c r="B275">
        <v>449132</v>
      </c>
      <c r="C275">
        <v>4036115</v>
      </c>
      <c r="J275">
        <v>7000</v>
      </c>
    </row>
    <row r="276" spans="1:10">
      <c r="A276" t="s">
        <v>488</v>
      </c>
      <c r="B276">
        <v>870179</v>
      </c>
      <c r="C276">
        <v>4986931</v>
      </c>
      <c r="J276">
        <v>40000</v>
      </c>
    </row>
    <row r="277" spans="1:10">
      <c r="A277" t="s">
        <v>45</v>
      </c>
      <c r="B277">
        <v>343537</v>
      </c>
      <c r="C277">
        <v>2210403</v>
      </c>
    </row>
    <row r="278" spans="1:10">
      <c r="A278" t="s">
        <v>103</v>
      </c>
      <c r="B278">
        <v>592369</v>
      </c>
      <c r="C278">
        <v>2830460</v>
      </c>
      <c r="E278">
        <v>25000</v>
      </c>
      <c r="J278">
        <v>55000</v>
      </c>
    </row>
    <row r="279" spans="1:10">
      <c r="A279" t="s">
        <v>211</v>
      </c>
      <c r="B279">
        <v>512010</v>
      </c>
      <c r="C279">
        <v>2684805</v>
      </c>
      <c r="J279">
        <v>50000</v>
      </c>
    </row>
    <row r="280" spans="1:10">
      <c r="A280" t="s">
        <v>1311</v>
      </c>
      <c r="B280">
        <v>13496</v>
      </c>
      <c r="C280">
        <v>94657</v>
      </c>
    </row>
    <row r="281" spans="1:10">
      <c r="A281" t="s">
        <v>123</v>
      </c>
      <c r="B281">
        <v>17454</v>
      </c>
      <c r="C281">
        <v>104364</v>
      </c>
    </row>
    <row r="282" spans="1:10">
      <c r="A282" t="s">
        <v>132</v>
      </c>
      <c r="B282">
        <v>12141</v>
      </c>
      <c r="C282">
        <v>30355</v>
      </c>
    </row>
    <row r="283" spans="1:10">
      <c r="A283" t="s">
        <v>256</v>
      </c>
      <c r="B283">
        <v>52135</v>
      </c>
      <c r="C283">
        <v>247985</v>
      </c>
      <c r="J283">
        <v>4500</v>
      </c>
    </row>
    <row r="284" spans="1:10">
      <c r="A284" t="s">
        <v>350</v>
      </c>
      <c r="B284">
        <v>473669</v>
      </c>
      <c r="C284">
        <v>3282878</v>
      </c>
      <c r="E284">
        <v>15000</v>
      </c>
      <c r="J284">
        <v>35000</v>
      </c>
    </row>
    <row r="285" spans="1:10">
      <c r="A285" t="s">
        <v>27</v>
      </c>
      <c r="B285">
        <v>130524</v>
      </c>
      <c r="C285">
        <v>701589</v>
      </c>
      <c r="E285">
        <v>1500</v>
      </c>
      <c r="J285">
        <v>4000</v>
      </c>
    </row>
    <row r="286" spans="1:10">
      <c r="A286" t="s">
        <v>0</v>
      </c>
      <c r="B286">
        <v>20952</v>
      </c>
      <c r="C286">
        <v>178493</v>
      </c>
    </row>
    <row r="287" spans="1:10">
      <c r="A287" t="s">
        <v>430</v>
      </c>
      <c r="B287">
        <v>12886</v>
      </c>
      <c r="C287">
        <v>128933</v>
      </c>
    </row>
    <row r="288" spans="1:10">
      <c r="A288" t="s">
        <v>66</v>
      </c>
      <c r="B288">
        <v>3670</v>
      </c>
      <c r="C288">
        <v>49165</v>
      </c>
    </row>
    <row r="289" spans="1:12">
      <c r="A289" t="s">
        <v>148</v>
      </c>
      <c r="B289">
        <v>19924</v>
      </c>
      <c r="C289">
        <v>191736</v>
      </c>
    </row>
    <row r="290" spans="1:12">
      <c r="A290" t="s">
        <v>411</v>
      </c>
      <c r="B290">
        <v>18453</v>
      </c>
      <c r="C290">
        <v>110505</v>
      </c>
      <c r="J290">
        <v>556</v>
      </c>
    </row>
    <row r="291" spans="1:12">
      <c r="A291" t="s">
        <v>274</v>
      </c>
      <c r="B291">
        <v>35792</v>
      </c>
      <c r="C291">
        <v>193302</v>
      </c>
    </row>
    <row r="292" spans="1:12">
      <c r="A292" t="s">
        <v>543</v>
      </c>
      <c r="B292">
        <v>19999</v>
      </c>
      <c r="C292">
        <v>171858</v>
      </c>
      <c r="J292">
        <v>500</v>
      </c>
    </row>
    <row r="293" spans="1:12">
      <c r="A293" t="s">
        <v>326</v>
      </c>
      <c r="B293">
        <v>37722</v>
      </c>
      <c r="C293">
        <v>192057</v>
      </c>
    </row>
    <row r="294" spans="1:12">
      <c r="A294" t="s">
        <v>1518</v>
      </c>
      <c r="B294">
        <v>11370</v>
      </c>
      <c r="C294">
        <v>141472</v>
      </c>
    </row>
    <row r="295" spans="1:12">
      <c r="A295" t="s">
        <v>191</v>
      </c>
      <c r="B295">
        <v>150486</v>
      </c>
      <c r="C295">
        <v>758115</v>
      </c>
      <c r="J295">
        <v>15000</v>
      </c>
    </row>
    <row r="296" spans="1:12">
      <c r="A296" t="s">
        <v>92</v>
      </c>
      <c r="B296">
        <v>217352</v>
      </c>
      <c r="C296">
        <v>1695146</v>
      </c>
    </row>
    <row r="297" spans="1:12">
      <c r="A297" t="s">
        <v>179</v>
      </c>
      <c r="B297">
        <v>4891414</v>
      </c>
      <c r="C297">
        <v>19625807</v>
      </c>
      <c r="J297">
        <v>150000</v>
      </c>
    </row>
    <row r="298" spans="1:12">
      <c r="A298" t="s">
        <v>231</v>
      </c>
      <c r="B298">
        <v>821431</v>
      </c>
      <c r="C298">
        <v>3878092</v>
      </c>
    </row>
    <row r="299" spans="1:12">
      <c r="A299" t="s">
        <v>553</v>
      </c>
      <c r="B299">
        <v>621285</v>
      </c>
      <c r="C299">
        <v>4484090</v>
      </c>
      <c r="L299">
        <v>183600</v>
      </c>
    </row>
    <row r="300" spans="1:12">
      <c r="A300" t="s">
        <v>490</v>
      </c>
      <c r="B300">
        <v>170074</v>
      </c>
      <c r="C300">
        <v>744493</v>
      </c>
      <c r="H300">
        <v>470334</v>
      </c>
    </row>
    <row r="301" spans="1:12">
      <c r="A301" t="s">
        <v>219</v>
      </c>
      <c r="B301">
        <v>1275832</v>
      </c>
      <c r="C301">
        <v>4767619</v>
      </c>
      <c r="J301">
        <v>7500</v>
      </c>
    </row>
    <row r="302" spans="1:12">
      <c r="A302" t="s">
        <v>248</v>
      </c>
      <c r="B302">
        <v>2182731</v>
      </c>
      <c r="C302">
        <v>8237877</v>
      </c>
      <c r="L302">
        <v>147000</v>
      </c>
    </row>
    <row r="303" spans="1:12">
      <c r="A303" t="s">
        <v>266</v>
      </c>
      <c r="B303">
        <v>602103</v>
      </c>
      <c r="C303">
        <v>4962192</v>
      </c>
      <c r="G303">
        <v>50000</v>
      </c>
    </row>
    <row r="304" spans="1:12">
      <c r="A304" t="s">
        <v>449</v>
      </c>
      <c r="B304">
        <v>193264</v>
      </c>
      <c r="C304">
        <v>1193162</v>
      </c>
    </row>
    <row r="305" spans="1:10">
      <c r="A305" t="s">
        <v>221</v>
      </c>
      <c r="B305">
        <v>396403</v>
      </c>
      <c r="C305">
        <v>1797705</v>
      </c>
      <c r="G305">
        <v>15000</v>
      </c>
    </row>
    <row r="306" spans="1:10">
      <c r="A306" t="s">
        <v>407</v>
      </c>
      <c r="B306">
        <v>190094</v>
      </c>
      <c r="C306">
        <v>1217435</v>
      </c>
    </row>
    <row r="307" spans="1:10">
      <c r="A307" t="s">
        <v>511</v>
      </c>
      <c r="B307">
        <v>644075</v>
      </c>
      <c r="C307">
        <v>3897536</v>
      </c>
      <c r="G307">
        <v>169500</v>
      </c>
    </row>
    <row r="308" spans="1:10">
      <c r="A308" t="s">
        <v>299</v>
      </c>
      <c r="B308">
        <v>1463876</v>
      </c>
      <c r="C308">
        <v>7441005</v>
      </c>
      <c r="E308">
        <v>1550</v>
      </c>
      <c r="J308">
        <v>9450</v>
      </c>
    </row>
    <row r="309" spans="1:10">
      <c r="A309" t="s">
        <v>209</v>
      </c>
      <c r="B309">
        <v>215402</v>
      </c>
      <c r="C309">
        <v>1070074</v>
      </c>
      <c r="G309">
        <v>80000</v>
      </c>
    </row>
  </sheetData>
  <sortState xmlns:xlrd2="http://schemas.microsoft.com/office/spreadsheetml/2017/richdata2" ref="A2:L309">
    <sortCondition ref="A2:A309"/>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7658-63DF-4FE1-B085-9F7023DE0DA4}">
  <sheetPr>
    <tabColor rgb="FF00B050"/>
  </sheetPr>
  <dimension ref="A1:E288"/>
  <sheetViews>
    <sheetView topLeftCell="A269" workbookViewId="0">
      <selection activeCell="B3" sqref="B3:C3"/>
    </sheetView>
  </sheetViews>
  <sheetFormatPr defaultRowHeight="16.5"/>
  <cols>
    <col min="1" max="1" width="9.140625" style="116"/>
    <col min="2" max="2" width="52" style="116" bestFit="1" customWidth="1"/>
    <col min="3" max="4" width="13" style="116" bestFit="1" customWidth="1"/>
    <col min="5" max="5" width="11" style="116" bestFit="1" customWidth="1"/>
    <col min="6" max="16384" width="9.140625" style="116"/>
  </cols>
  <sheetData>
    <row r="1" spans="1:5" ht="17.25" thickBot="1">
      <c r="A1" s="172" t="s">
        <v>1571</v>
      </c>
      <c r="B1" s="172" t="s">
        <v>171</v>
      </c>
      <c r="C1" s="172" t="s">
        <v>977</v>
      </c>
      <c r="D1" s="172" t="s">
        <v>978</v>
      </c>
      <c r="E1" s="173" t="s">
        <v>586</v>
      </c>
    </row>
    <row r="2" spans="1:5">
      <c r="A2" s="174" t="s">
        <v>51</v>
      </c>
      <c r="B2" s="116" t="s">
        <v>588</v>
      </c>
      <c r="C2" s="135">
        <v>173471</v>
      </c>
      <c r="D2" s="135">
        <v>14525</v>
      </c>
      <c r="E2" s="135">
        <f>C2+D2</f>
        <v>187996</v>
      </c>
    </row>
    <row r="3" spans="1:5">
      <c r="A3" s="174" t="s">
        <v>53</v>
      </c>
      <c r="B3" s="116" t="s">
        <v>589</v>
      </c>
      <c r="C3" s="135">
        <v>25648</v>
      </c>
      <c r="D3" s="135">
        <v>2148</v>
      </c>
      <c r="E3" s="135">
        <f t="shared" ref="E3:E66" si="0">C3+D3</f>
        <v>27796</v>
      </c>
    </row>
    <row r="4" spans="1:5">
      <c r="A4" s="174" t="s">
        <v>55</v>
      </c>
      <c r="B4" s="116" t="s">
        <v>590</v>
      </c>
      <c r="C4" s="135">
        <v>5375</v>
      </c>
      <c r="D4" s="135">
        <v>451</v>
      </c>
      <c r="E4" s="135">
        <f t="shared" si="0"/>
        <v>5826</v>
      </c>
    </row>
    <row r="5" spans="1:5">
      <c r="A5" s="174" t="s">
        <v>182</v>
      </c>
      <c r="B5" s="116" t="s">
        <v>591</v>
      </c>
      <c r="C5" s="135">
        <v>112394</v>
      </c>
      <c r="D5" s="135">
        <v>9412</v>
      </c>
      <c r="E5" s="135">
        <f t="shared" si="0"/>
        <v>121806</v>
      </c>
    </row>
    <row r="6" spans="1:5">
      <c r="A6" s="174" t="s">
        <v>471</v>
      </c>
      <c r="B6" s="116" t="s">
        <v>592</v>
      </c>
      <c r="C6" s="135">
        <v>243720</v>
      </c>
      <c r="D6" s="135">
        <v>20408</v>
      </c>
      <c r="E6" s="135">
        <f t="shared" si="0"/>
        <v>264128</v>
      </c>
    </row>
    <row r="7" spans="1:5">
      <c r="A7" s="174" t="s">
        <v>473</v>
      </c>
      <c r="B7" s="116" t="s">
        <v>593</v>
      </c>
      <c r="C7" s="135">
        <v>27187</v>
      </c>
      <c r="D7" s="135">
        <v>2277</v>
      </c>
      <c r="E7" s="135">
        <f t="shared" si="0"/>
        <v>29464</v>
      </c>
    </row>
    <row r="8" spans="1:5">
      <c r="A8" s="174" t="s">
        <v>474</v>
      </c>
      <c r="B8" s="116" t="s">
        <v>594</v>
      </c>
      <c r="C8" s="135">
        <v>837225</v>
      </c>
      <c r="D8" s="135">
        <v>70100</v>
      </c>
      <c r="E8" s="135">
        <f t="shared" si="0"/>
        <v>907325</v>
      </c>
    </row>
    <row r="9" spans="1:5">
      <c r="A9" s="174" t="s">
        <v>476</v>
      </c>
      <c r="B9" s="116" t="s">
        <v>595</v>
      </c>
      <c r="C9" s="135">
        <v>162346</v>
      </c>
      <c r="D9" s="135">
        <v>13595</v>
      </c>
      <c r="E9" s="135">
        <f t="shared" si="0"/>
        <v>175941</v>
      </c>
    </row>
    <row r="10" spans="1:5">
      <c r="A10" s="174" t="s">
        <v>477</v>
      </c>
      <c r="B10" s="116" t="s">
        <v>596</v>
      </c>
      <c r="C10" s="135">
        <v>588856</v>
      </c>
      <c r="D10" s="135">
        <v>49306</v>
      </c>
      <c r="E10" s="135">
        <f t="shared" si="0"/>
        <v>638162</v>
      </c>
    </row>
    <row r="11" spans="1:5">
      <c r="A11" s="174" t="s">
        <v>195</v>
      </c>
      <c r="B11" s="116" t="s">
        <v>597</v>
      </c>
      <c r="C11" s="135">
        <v>1027089</v>
      </c>
      <c r="D11" s="135">
        <v>86002</v>
      </c>
      <c r="E11" s="135">
        <f t="shared" si="0"/>
        <v>1113091</v>
      </c>
    </row>
    <row r="12" spans="1:5">
      <c r="A12" s="174" t="s">
        <v>197</v>
      </c>
      <c r="B12" s="116" t="s">
        <v>598</v>
      </c>
      <c r="C12" s="135">
        <v>543586</v>
      </c>
      <c r="D12" s="135">
        <v>45515</v>
      </c>
      <c r="E12" s="135">
        <f t="shared" si="0"/>
        <v>589101</v>
      </c>
    </row>
    <row r="13" spans="1:5">
      <c r="A13" s="174" t="s">
        <v>199</v>
      </c>
      <c r="B13" s="116" t="s">
        <v>599</v>
      </c>
      <c r="C13" s="135">
        <v>821</v>
      </c>
      <c r="D13" s="135">
        <v>69</v>
      </c>
      <c r="E13" s="135">
        <f t="shared" si="0"/>
        <v>890</v>
      </c>
    </row>
    <row r="14" spans="1:5">
      <c r="A14" s="174" t="s">
        <v>201</v>
      </c>
      <c r="B14" s="116" t="s">
        <v>600</v>
      </c>
      <c r="C14" s="135">
        <v>952505</v>
      </c>
      <c r="D14" s="135">
        <v>79753</v>
      </c>
      <c r="E14" s="135">
        <f t="shared" si="0"/>
        <v>1032258</v>
      </c>
    </row>
    <row r="15" spans="1:5">
      <c r="A15" s="174" t="s">
        <v>14</v>
      </c>
      <c r="B15" s="116" t="s">
        <v>602</v>
      </c>
      <c r="C15" s="135">
        <v>101964</v>
      </c>
      <c r="D15" s="135">
        <v>8538</v>
      </c>
      <c r="E15" s="135">
        <f t="shared" si="0"/>
        <v>110502</v>
      </c>
    </row>
    <row r="16" spans="1:5">
      <c r="A16" s="174" t="s">
        <v>16</v>
      </c>
      <c r="B16" s="116" t="s">
        <v>603</v>
      </c>
      <c r="C16" s="135">
        <v>4266</v>
      </c>
      <c r="D16" s="135">
        <v>358</v>
      </c>
      <c r="E16" s="135">
        <f t="shared" si="0"/>
        <v>4624</v>
      </c>
    </row>
    <row r="17" spans="1:5">
      <c r="A17" s="174" t="s">
        <v>524</v>
      </c>
      <c r="B17" s="116" t="s">
        <v>604</v>
      </c>
      <c r="C17" s="135">
        <v>228536</v>
      </c>
      <c r="D17" s="135">
        <v>19136</v>
      </c>
      <c r="E17" s="135">
        <f t="shared" si="0"/>
        <v>247672</v>
      </c>
    </row>
    <row r="18" spans="1:5">
      <c r="A18" s="174" t="s">
        <v>526</v>
      </c>
      <c r="B18" s="116" t="s">
        <v>605</v>
      </c>
      <c r="C18" s="135">
        <v>51683</v>
      </c>
      <c r="D18" s="135">
        <v>4328</v>
      </c>
      <c r="E18" s="135">
        <f t="shared" si="0"/>
        <v>56011</v>
      </c>
    </row>
    <row r="19" spans="1:5">
      <c r="A19" s="174" t="s">
        <v>528</v>
      </c>
      <c r="B19" s="116" t="s">
        <v>606</v>
      </c>
      <c r="C19" s="135">
        <v>43007</v>
      </c>
      <c r="D19" s="135">
        <v>3600</v>
      </c>
      <c r="E19" s="135">
        <f t="shared" si="0"/>
        <v>46607</v>
      </c>
    </row>
    <row r="20" spans="1:5">
      <c r="A20" s="174" t="s">
        <v>530</v>
      </c>
      <c r="B20" s="116" t="s">
        <v>607</v>
      </c>
      <c r="C20" s="135">
        <v>3844</v>
      </c>
      <c r="D20" s="135">
        <v>322</v>
      </c>
      <c r="E20" s="135">
        <f t="shared" si="0"/>
        <v>4166</v>
      </c>
    </row>
    <row r="21" spans="1:5">
      <c r="A21" s="174" t="s">
        <v>532</v>
      </c>
      <c r="B21" s="116" t="s">
        <v>608</v>
      </c>
      <c r="C21" s="135">
        <v>166817</v>
      </c>
      <c r="D21" s="135">
        <v>13968</v>
      </c>
      <c r="E21" s="135">
        <f t="shared" si="0"/>
        <v>180785</v>
      </c>
    </row>
    <row r="22" spans="1:5">
      <c r="A22" s="174" t="s">
        <v>534</v>
      </c>
      <c r="B22" s="116" t="s">
        <v>609</v>
      </c>
      <c r="C22" s="135">
        <v>307629</v>
      </c>
      <c r="D22" s="135">
        <v>25759</v>
      </c>
      <c r="E22" s="135">
        <f t="shared" si="0"/>
        <v>333388</v>
      </c>
    </row>
    <row r="23" spans="1:5">
      <c r="A23" s="174" t="s">
        <v>536</v>
      </c>
      <c r="B23" s="116" t="s">
        <v>610</v>
      </c>
      <c r="C23" s="135">
        <v>25939</v>
      </c>
      <c r="D23" s="135">
        <v>2172</v>
      </c>
      <c r="E23" s="135">
        <f t="shared" si="0"/>
        <v>28111</v>
      </c>
    </row>
    <row r="24" spans="1:5">
      <c r="A24" s="174" t="s">
        <v>538</v>
      </c>
      <c r="B24" s="116" t="s">
        <v>847</v>
      </c>
      <c r="C24" s="135">
        <v>8580</v>
      </c>
      <c r="D24" s="135">
        <v>718</v>
      </c>
      <c r="E24" s="135">
        <f t="shared" si="0"/>
        <v>9298</v>
      </c>
    </row>
    <row r="25" spans="1:5">
      <c r="A25" s="174" t="s">
        <v>151</v>
      </c>
      <c r="B25" s="116" t="s">
        <v>611</v>
      </c>
      <c r="C25" s="135">
        <v>59735</v>
      </c>
      <c r="D25" s="135">
        <v>5001</v>
      </c>
      <c r="E25" s="135">
        <f t="shared" si="0"/>
        <v>64736</v>
      </c>
    </row>
    <row r="26" spans="1:5">
      <c r="A26" s="174" t="s">
        <v>153</v>
      </c>
      <c r="B26" s="116" t="s">
        <v>612</v>
      </c>
      <c r="C26" s="135">
        <v>74477</v>
      </c>
      <c r="D26" s="135">
        <v>6236</v>
      </c>
      <c r="E26" s="135">
        <f t="shared" si="0"/>
        <v>80713</v>
      </c>
    </row>
    <row r="27" spans="1:5">
      <c r="A27" s="174" t="s">
        <v>155</v>
      </c>
      <c r="B27" s="116" t="s">
        <v>613</v>
      </c>
      <c r="C27" s="135">
        <v>62782</v>
      </c>
      <c r="D27" s="135">
        <v>5257</v>
      </c>
      <c r="E27" s="135">
        <f t="shared" si="0"/>
        <v>68039</v>
      </c>
    </row>
    <row r="28" spans="1:5">
      <c r="A28" s="175" t="s">
        <v>1050</v>
      </c>
      <c r="B28" s="116" t="s">
        <v>1047</v>
      </c>
      <c r="C28" s="135">
        <v>6449</v>
      </c>
      <c r="D28" s="135">
        <v>0</v>
      </c>
      <c r="E28" s="135">
        <f t="shared" si="0"/>
        <v>6449</v>
      </c>
    </row>
    <row r="29" spans="1:5">
      <c r="A29" s="174" t="s">
        <v>281</v>
      </c>
      <c r="B29" s="116" t="s">
        <v>614</v>
      </c>
      <c r="C29" s="135">
        <v>512933</v>
      </c>
      <c r="D29" s="135">
        <v>42949</v>
      </c>
      <c r="E29" s="135">
        <f t="shared" si="0"/>
        <v>555882</v>
      </c>
    </row>
    <row r="30" spans="1:5">
      <c r="A30" s="174" t="s">
        <v>283</v>
      </c>
      <c r="B30" s="116" t="s">
        <v>615</v>
      </c>
      <c r="C30" s="135">
        <v>639680</v>
      </c>
      <c r="D30" s="135">
        <v>53562</v>
      </c>
      <c r="E30" s="135">
        <f t="shared" si="0"/>
        <v>693242</v>
      </c>
    </row>
    <row r="31" spans="1:5">
      <c r="A31" s="174" t="s">
        <v>285</v>
      </c>
      <c r="B31" s="116" t="s">
        <v>616</v>
      </c>
      <c r="C31" s="135">
        <v>181946</v>
      </c>
      <c r="D31" s="135">
        <v>15234</v>
      </c>
      <c r="E31" s="135">
        <f t="shared" si="0"/>
        <v>197180</v>
      </c>
    </row>
    <row r="32" spans="1:5">
      <c r="A32" s="174" t="s">
        <v>287</v>
      </c>
      <c r="B32" s="116" t="s">
        <v>617</v>
      </c>
      <c r="C32" s="135">
        <v>149778</v>
      </c>
      <c r="D32" s="135">
        <v>12542</v>
      </c>
      <c r="E32" s="135">
        <f t="shared" si="0"/>
        <v>162320</v>
      </c>
    </row>
    <row r="33" spans="1:5">
      <c r="A33" s="174" t="s">
        <v>289</v>
      </c>
      <c r="B33" s="116" t="s">
        <v>618</v>
      </c>
      <c r="C33" s="135">
        <v>238141</v>
      </c>
      <c r="D33" s="135">
        <v>19940</v>
      </c>
      <c r="E33" s="135">
        <f t="shared" si="0"/>
        <v>258081</v>
      </c>
    </row>
    <row r="34" spans="1:5">
      <c r="A34" s="174" t="s">
        <v>291</v>
      </c>
      <c r="B34" s="116" t="s">
        <v>619</v>
      </c>
      <c r="C34" s="135">
        <v>33967</v>
      </c>
      <c r="D34" s="135">
        <v>2844</v>
      </c>
      <c r="E34" s="135">
        <f t="shared" si="0"/>
        <v>36811</v>
      </c>
    </row>
    <row r="35" spans="1:5">
      <c r="A35" s="174" t="s">
        <v>19</v>
      </c>
      <c r="B35" s="116" t="s">
        <v>620</v>
      </c>
      <c r="C35" s="135">
        <v>38985</v>
      </c>
      <c r="D35" s="135">
        <v>3264</v>
      </c>
      <c r="E35" s="135">
        <f t="shared" si="0"/>
        <v>42249</v>
      </c>
    </row>
    <row r="36" spans="1:5">
      <c r="A36" s="174" t="s">
        <v>21</v>
      </c>
      <c r="B36" s="116" t="s">
        <v>621</v>
      </c>
      <c r="C36" s="135">
        <v>127426</v>
      </c>
      <c r="D36" s="135">
        <v>10670</v>
      </c>
      <c r="E36" s="135">
        <f t="shared" si="0"/>
        <v>138096</v>
      </c>
    </row>
    <row r="37" spans="1:5">
      <c r="A37" s="174" t="s">
        <v>23</v>
      </c>
      <c r="B37" s="116" t="s">
        <v>622</v>
      </c>
      <c r="C37" s="135">
        <v>38388</v>
      </c>
      <c r="D37" s="135">
        <v>3215</v>
      </c>
      <c r="E37" s="135">
        <f t="shared" si="0"/>
        <v>41603</v>
      </c>
    </row>
    <row r="38" spans="1:5">
      <c r="A38" s="174" t="s">
        <v>25</v>
      </c>
      <c r="B38" s="116" t="s">
        <v>623</v>
      </c>
      <c r="C38" s="135">
        <v>630018</v>
      </c>
      <c r="D38" s="135">
        <v>52751</v>
      </c>
      <c r="E38" s="135">
        <f t="shared" si="0"/>
        <v>682769</v>
      </c>
    </row>
    <row r="39" spans="1:5">
      <c r="A39" s="174" t="s">
        <v>27</v>
      </c>
      <c r="B39" s="116" t="s">
        <v>624</v>
      </c>
      <c r="C39" s="135">
        <v>22320</v>
      </c>
      <c r="D39" s="135">
        <v>1868</v>
      </c>
      <c r="E39" s="135">
        <f t="shared" si="0"/>
        <v>24188</v>
      </c>
    </row>
    <row r="40" spans="1:5">
      <c r="A40" s="174" t="s">
        <v>29</v>
      </c>
      <c r="B40" s="116" t="s">
        <v>625</v>
      </c>
      <c r="C40" s="135">
        <v>93228</v>
      </c>
      <c r="D40" s="135">
        <v>7806</v>
      </c>
      <c r="E40" s="135">
        <f t="shared" si="0"/>
        <v>101034</v>
      </c>
    </row>
    <row r="41" spans="1:5">
      <c r="A41" s="174" t="s">
        <v>148</v>
      </c>
      <c r="B41" s="116" t="s">
        <v>626</v>
      </c>
      <c r="C41" s="135">
        <v>7359</v>
      </c>
      <c r="D41" s="135">
        <v>616</v>
      </c>
      <c r="E41" s="135">
        <f t="shared" si="0"/>
        <v>7975</v>
      </c>
    </row>
    <row r="42" spans="1:5">
      <c r="A42" s="174" t="s">
        <v>150</v>
      </c>
      <c r="B42" s="116" t="s">
        <v>859</v>
      </c>
      <c r="C42" s="135">
        <v>5195</v>
      </c>
      <c r="D42" s="135">
        <v>436</v>
      </c>
      <c r="E42" s="135">
        <f t="shared" si="0"/>
        <v>5631</v>
      </c>
    </row>
    <row r="43" spans="1:5">
      <c r="A43" s="174" t="s">
        <v>133</v>
      </c>
      <c r="B43" s="116" t="s">
        <v>860</v>
      </c>
      <c r="C43" s="135">
        <v>50230</v>
      </c>
      <c r="D43" s="135">
        <v>4205</v>
      </c>
      <c r="E43" s="135">
        <f t="shared" si="0"/>
        <v>54435</v>
      </c>
    </row>
    <row r="44" spans="1:5">
      <c r="A44" s="174" t="s">
        <v>134</v>
      </c>
      <c r="B44" s="116" t="s">
        <v>627</v>
      </c>
      <c r="C44" s="135">
        <v>78369</v>
      </c>
      <c r="D44" s="135">
        <v>6562</v>
      </c>
      <c r="E44" s="135">
        <f t="shared" si="0"/>
        <v>84931</v>
      </c>
    </row>
    <row r="45" spans="1:5">
      <c r="A45" s="174" t="s">
        <v>136</v>
      </c>
      <c r="B45" s="116" t="s">
        <v>628</v>
      </c>
      <c r="C45" s="135">
        <v>26243</v>
      </c>
      <c r="D45" s="135">
        <v>2197</v>
      </c>
      <c r="E45" s="135">
        <f t="shared" si="0"/>
        <v>28440</v>
      </c>
    </row>
    <row r="46" spans="1:5">
      <c r="A46" s="174" t="s">
        <v>138</v>
      </c>
      <c r="B46" s="116" t="s">
        <v>629</v>
      </c>
      <c r="C46" s="135">
        <v>19625</v>
      </c>
      <c r="D46" s="135">
        <v>1644</v>
      </c>
      <c r="E46" s="135">
        <f t="shared" si="0"/>
        <v>21269</v>
      </c>
    </row>
    <row r="47" spans="1:5">
      <c r="A47" s="174" t="s">
        <v>140</v>
      </c>
      <c r="B47" s="116" t="s">
        <v>630</v>
      </c>
      <c r="C47" s="135">
        <v>7918</v>
      </c>
      <c r="D47" s="135">
        <v>663</v>
      </c>
      <c r="E47" s="135">
        <f t="shared" si="0"/>
        <v>8581</v>
      </c>
    </row>
    <row r="48" spans="1:5">
      <c r="A48" s="174" t="s">
        <v>142</v>
      </c>
      <c r="B48" s="116" t="s">
        <v>848</v>
      </c>
      <c r="C48" s="135">
        <v>8356</v>
      </c>
      <c r="D48" s="135">
        <v>700</v>
      </c>
      <c r="E48" s="135">
        <f t="shared" si="0"/>
        <v>9056</v>
      </c>
    </row>
    <row r="49" spans="1:5">
      <c r="A49" s="174" t="s">
        <v>143</v>
      </c>
      <c r="B49" s="116" t="s">
        <v>631</v>
      </c>
      <c r="C49" s="135">
        <v>43537</v>
      </c>
      <c r="D49" s="135">
        <v>3645</v>
      </c>
      <c r="E49" s="135">
        <f t="shared" si="0"/>
        <v>47182</v>
      </c>
    </row>
    <row r="50" spans="1:5">
      <c r="A50" s="174" t="s">
        <v>12</v>
      </c>
      <c r="B50" s="116" t="s">
        <v>632</v>
      </c>
      <c r="C50" s="135">
        <v>15694</v>
      </c>
      <c r="D50" s="135">
        <v>1314</v>
      </c>
      <c r="E50" s="135">
        <f t="shared" si="0"/>
        <v>17008</v>
      </c>
    </row>
    <row r="51" spans="1:5">
      <c r="A51" s="174" t="s">
        <v>145</v>
      </c>
      <c r="B51" s="116" t="s">
        <v>633</v>
      </c>
      <c r="C51" s="135">
        <v>3628</v>
      </c>
      <c r="D51" s="135">
        <v>304</v>
      </c>
      <c r="E51" s="135">
        <f t="shared" si="0"/>
        <v>3932</v>
      </c>
    </row>
    <row r="52" spans="1:5">
      <c r="A52" s="174" t="s">
        <v>402</v>
      </c>
      <c r="B52" s="116" t="s">
        <v>634</v>
      </c>
      <c r="C52" s="135">
        <v>14047</v>
      </c>
      <c r="D52" s="135">
        <v>1177</v>
      </c>
      <c r="E52" s="135">
        <f t="shared" si="0"/>
        <v>15224</v>
      </c>
    </row>
    <row r="53" spans="1:5">
      <c r="A53" s="174" t="s">
        <v>404</v>
      </c>
      <c r="B53" s="116" t="s">
        <v>635</v>
      </c>
      <c r="C53" s="135">
        <v>14306</v>
      </c>
      <c r="D53" s="135">
        <v>1198</v>
      </c>
      <c r="E53" s="135">
        <f t="shared" si="0"/>
        <v>15504</v>
      </c>
    </row>
    <row r="54" spans="1:5">
      <c r="A54" s="174" t="s">
        <v>406</v>
      </c>
      <c r="B54" s="116" t="s">
        <v>636</v>
      </c>
      <c r="C54" s="135">
        <v>1583</v>
      </c>
      <c r="D54" s="135">
        <v>133</v>
      </c>
      <c r="E54" s="135">
        <f t="shared" si="0"/>
        <v>1716</v>
      </c>
    </row>
    <row r="55" spans="1:5">
      <c r="A55" s="174" t="s">
        <v>224</v>
      </c>
      <c r="B55" s="116" t="s">
        <v>637</v>
      </c>
      <c r="C55" s="135">
        <v>19979</v>
      </c>
      <c r="D55" s="135">
        <v>1673</v>
      </c>
      <c r="E55" s="135">
        <f t="shared" si="0"/>
        <v>21652</v>
      </c>
    </row>
    <row r="56" spans="1:5">
      <c r="A56" s="174" t="s">
        <v>226</v>
      </c>
      <c r="B56" s="116" t="s">
        <v>638</v>
      </c>
      <c r="C56" s="135">
        <v>25541</v>
      </c>
      <c r="D56" s="135">
        <v>2139</v>
      </c>
      <c r="E56" s="135">
        <f t="shared" si="0"/>
        <v>27680</v>
      </c>
    </row>
    <row r="57" spans="1:5">
      <c r="A57" s="174" t="s">
        <v>355</v>
      </c>
      <c r="B57" s="116" t="s">
        <v>639</v>
      </c>
      <c r="C57" s="135">
        <v>119116</v>
      </c>
      <c r="D57" s="135">
        <v>9974</v>
      </c>
      <c r="E57" s="135">
        <f t="shared" si="0"/>
        <v>129090</v>
      </c>
    </row>
    <row r="58" spans="1:5">
      <c r="A58" s="174" t="s">
        <v>357</v>
      </c>
      <c r="B58" s="116" t="s">
        <v>640</v>
      </c>
      <c r="C58" s="135">
        <v>56944</v>
      </c>
      <c r="D58" s="135">
        <v>4769</v>
      </c>
      <c r="E58" s="135">
        <f t="shared" si="0"/>
        <v>61713</v>
      </c>
    </row>
    <row r="59" spans="1:5">
      <c r="A59" s="174" t="s">
        <v>230</v>
      </c>
      <c r="B59" s="116" t="s">
        <v>861</v>
      </c>
      <c r="C59" s="135">
        <v>178942</v>
      </c>
      <c r="D59" s="135">
        <v>14982</v>
      </c>
      <c r="E59" s="135">
        <f t="shared" si="0"/>
        <v>193924</v>
      </c>
    </row>
    <row r="60" spans="1:5">
      <c r="A60" s="174" t="s">
        <v>231</v>
      </c>
      <c r="B60" s="116" t="s">
        <v>862</v>
      </c>
      <c r="C60" s="135">
        <v>166793</v>
      </c>
      <c r="D60" s="135">
        <v>13965</v>
      </c>
      <c r="E60" s="135">
        <f t="shared" si="0"/>
        <v>180758</v>
      </c>
    </row>
    <row r="61" spans="1:5">
      <c r="A61" s="174" t="s">
        <v>232</v>
      </c>
      <c r="B61" s="116" t="s">
        <v>641</v>
      </c>
      <c r="C61" s="135">
        <v>290062</v>
      </c>
      <c r="D61" s="135">
        <v>24287</v>
      </c>
      <c r="E61" s="135">
        <f t="shared" si="0"/>
        <v>314349</v>
      </c>
    </row>
    <row r="62" spans="1:5">
      <c r="A62" s="174" t="s">
        <v>234</v>
      </c>
      <c r="B62" s="116" t="s">
        <v>642</v>
      </c>
      <c r="C62" s="135">
        <v>4607</v>
      </c>
      <c r="D62" s="135">
        <v>386</v>
      </c>
      <c r="E62" s="135">
        <f t="shared" si="0"/>
        <v>4993</v>
      </c>
    </row>
    <row r="63" spans="1:5">
      <c r="A63" s="174" t="s">
        <v>236</v>
      </c>
      <c r="B63" s="116" t="s">
        <v>643</v>
      </c>
      <c r="C63" s="135">
        <v>86662</v>
      </c>
      <c r="D63" s="135">
        <v>7256</v>
      </c>
      <c r="E63" s="135">
        <f t="shared" si="0"/>
        <v>93918</v>
      </c>
    </row>
    <row r="64" spans="1:5">
      <c r="A64" s="174" t="s">
        <v>238</v>
      </c>
      <c r="B64" s="116" t="s">
        <v>644</v>
      </c>
      <c r="C64" s="135">
        <v>960186</v>
      </c>
      <c r="D64" s="135">
        <v>80398</v>
      </c>
      <c r="E64" s="135">
        <f t="shared" si="0"/>
        <v>1040584</v>
      </c>
    </row>
    <row r="65" spans="1:5">
      <c r="A65" s="174" t="s">
        <v>240</v>
      </c>
      <c r="B65" s="116" t="s">
        <v>645</v>
      </c>
      <c r="C65" s="135">
        <v>149830</v>
      </c>
      <c r="D65" s="135">
        <v>12546</v>
      </c>
      <c r="E65" s="135">
        <f t="shared" si="0"/>
        <v>162376</v>
      </c>
    </row>
    <row r="66" spans="1:5">
      <c r="A66" s="174" t="s">
        <v>409</v>
      </c>
      <c r="B66" s="116" t="s">
        <v>646</v>
      </c>
      <c r="C66" s="135">
        <v>72948</v>
      </c>
      <c r="D66" s="135">
        <v>6107</v>
      </c>
      <c r="E66" s="135">
        <f t="shared" si="0"/>
        <v>79055</v>
      </c>
    </row>
    <row r="67" spans="1:5">
      <c r="A67" s="174" t="s">
        <v>411</v>
      </c>
      <c r="B67" s="116" t="s">
        <v>647</v>
      </c>
      <c r="C67" s="135">
        <v>4522</v>
      </c>
      <c r="D67" s="135">
        <v>379</v>
      </c>
      <c r="E67" s="135">
        <f t="shared" ref="E67:E130" si="1">C67+D67</f>
        <v>4901</v>
      </c>
    </row>
    <row r="68" spans="1:5">
      <c r="A68" s="174" t="s">
        <v>413</v>
      </c>
      <c r="B68" s="116" t="s">
        <v>648</v>
      </c>
      <c r="C68" s="135">
        <v>16171</v>
      </c>
      <c r="D68" s="135">
        <v>1354</v>
      </c>
      <c r="E68" s="135">
        <f t="shared" si="1"/>
        <v>17525</v>
      </c>
    </row>
    <row r="69" spans="1:5">
      <c r="A69" s="174" t="s">
        <v>415</v>
      </c>
      <c r="B69" s="116" t="s">
        <v>649</v>
      </c>
      <c r="C69" s="135">
        <v>181381</v>
      </c>
      <c r="D69" s="135">
        <v>15187</v>
      </c>
      <c r="E69" s="135">
        <f t="shared" si="1"/>
        <v>196568</v>
      </c>
    </row>
    <row r="70" spans="1:5">
      <c r="A70" s="174" t="s">
        <v>417</v>
      </c>
      <c r="B70" s="116" t="s">
        <v>650</v>
      </c>
      <c r="C70" s="135">
        <v>133625</v>
      </c>
      <c r="D70" s="135">
        <v>11189</v>
      </c>
      <c r="E70" s="135">
        <f t="shared" si="1"/>
        <v>144814</v>
      </c>
    </row>
    <row r="71" spans="1:5">
      <c r="A71" s="174" t="s">
        <v>419</v>
      </c>
      <c r="B71" s="116" t="s">
        <v>651</v>
      </c>
      <c r="C71" s="135">
        <v>2492</v>
      </c>
      <c r="D71" s="135">
        <v>209</v>
      </c>
      <c r="E71" s="135">
        <f t="shared" si="1"/>
        <v>2701</v>
      </c>
    </row>
    <row r="72" spans="1:5">
      <c r="A72" s="174" t="s">
        <v>513</v>
      </c>
      <c r="B72" s="116" t="s">
        <v>652</v>
      </c>
      <c r="C72" s="135">
        <v>971042</v>
      </c>
      <c r="D72" s="135">
        <v>81307</v>
      </c>
      <c r="E72" s="135">
        <f t="shared" si="1"/>
        <v>1052349</v>
      </c>
    </row>
    <row r="73" spans="1:5">
      <c r="A73" s="174" t="s">
        <v>515</v>
      </c>
      <c r="B73" s="116" t="s">
        <v>863</v>
      </c>
      <c r="C73" s="135">
        <v>1112185</v>
      </c>
      <c r="D73" s="135">
        <v>93123</v>
      </c>
      <c r="E73" s="135">
        <f t="shared" si="1"/>
        <v>1205308</v>
      </c>
    </row>
    <row r="74" spans="1:5">
      <c r="A74" s="174" t="s">
        <v>516</v>
      </c>
      <c r="B74" s="116" t="s">
        <v>864</v>
      </c>
      <c r="C74" s="135">
        <v>5087</v>
      </c>
      <c r="D74" s="135">
        <v>426</v>
      </c>
      <c r="E74" s="135">
        <f t="shared" si="1"/>
        <v>5513</v>
      </c>
    </row>
    <row r="75" spans="1:5">
      <c r="A75" s="174" t="s">
        <v>517</v>
      </c>
      <c r="B75" s="116" t="s">
        <v>653</v>
      </c>
      <c r="C75" s="135">
        <v>1120597</v>
      </c>
      <c r="D75" s="135">
        <v>93827</v>
      </c>
      <c r="E75" s="135">
        <f t="shared" si="1"/>
        <v>1214424</v>
      </c>
    </row>
    <row r="76" spans="1:5">
      <c r="A76" s="174" t="s">
        <v>420</v>
      </c>
      <c r="B76" s="116" t="s">
        <v>654</v>
      </c>
      <c r="C76" s="135">
        <v>207345</v>
      </c>
      <c r="D76" s="135">
        <v>17362</v>
      </c>
      <c r="E76" s="135">
        <f t="shared" si="1"/>
        <v>224707</v>
      </c>
    </row>
    <row r="77" spans="1:5">
      <c r="A77" s="174" t="s">
        <v>422</v>
      </c>
      <c r="B77" s="116" t="s">
        <v>655</v>
      </c>
      <c r="C77" s="135">
        <v>177544</v>
      </c>
      <c r="D77" s="135">
        <v>14866</v>
      </c>
      <c r="E77" s="135">
        <f t="shared" si="1"/>
        <v>192410</v>
      </c>
    </row>
    <row r="78" spans="1:5">
      <c r="A78" s="174" t="s">
        <v>424</v>
      </c>
      <c r="B78" s="116" t="s">
        <v>656</v>
      </c>
      <c r="C78" s="135">
        <v>45702</v>
      </c>
      <c r="D78" s="135">
        <v>3826</v>
      </c>
      <c r="E78" s="135">
        <f t="shared" si="1"/>
        <v>49528</v>
      </c>
    </row>
    <row r="79" spans="1:5">
      <c r="A79" s="174" t="s">
        <v>426</v>
      </c>
      <c r="B79" s="116" t="s">
        <v>657</v>
      </c>
      <c r="C79" s="135">
        <v>383329</v>
      </c>
      <c r="D79" s="135">
        <v>32095</v>
      </c>
      <c r="E79" s="135">
        <f t="shared" si="1"/>
        <v>415424</v>
      </c>
    </row>
    <row r="80" spans="1:5">
      <c r="A80" s="174" t="s">
        <v>428</v>
      </c>
      <c r="B80" s="116" t="s">
        <v>658</v>
      </c>
      <c r="C80" s="135">
        <v>36552</v>
      </c>
      <c r="D80" s="135">
        <v>3060</v>
      </c>
      <c r="E80" s="135">
        <f t="shared" si="1"/>
        <v>39612</v>
      </c>
    </row>
    <row r="81" spans="1:5">
      <c r="A81" s="174" t="s">
        <v>430</v>
      </c>
      <c r="B81" s="116" t="s">
        <v>659</v>
      </c>
      <c r="C81" s="135">
        <v>5564</v>
      </c>
      <c r="D81" s="135">
        <v>466</v>
      </c>
      <c r="E81" s="135">
        <f t="shared" si="1"/>
        <v>6030</v>
      </c>
    </row>
    <row r="82" spans="1:5">
      <c r="A82" s="174" t="s">
        <v>436</v>
      </c>
      <c r="B82" s="116" t="s">
        <v>660</v>
      </c>
      <c r="C82" s="135">
        <v>36430</v>
      </c>
      <c r="D82" s="135">
        <v>3050</v>
      </c>
      <c r="E82" s="135">
        <f t="shared" si="1"/>
        <v>39480</v>
      </c>
    </row>
    <row r="83" spans="1:5">
      <c r="A83" s="174" t="s">
        <v>219</v>
      </c>
      <c r="B83" s="116" t="s">
        <v>661</v>
      </c>
      <c r="C83" s="135">
        <v>188946</v>
      </c>
      <c r="D83" s="135">
        <v>15820</v>
      </c>
      <c r="E83" s="135">
        <f t="shared" si="1"/>
        <v>204766</v>
      </c>
    </row>
    <row r="84" spans="1:5">
      <c r="A84" s="174" t="s">
        <v>221</v>
      </c>
      <c r="B84" s="116" t="s">
        <v>662</v>
      </c>
      <c r="C84" s="135">
        <v>76638</v>
      </c>
      <c r="D84" s="135">
        <v>6417</v>
      </c>
      <c r="E84" s="135">
        <f t="shared" si="1"/>
        <v>83055</v>
      </c>
    </row>
    <row r="85" spans="1:5">
      <c r="A85" s="174" t="s">
        <v>313</v>
      </c>
      <c r="B85" s="116" t="s">
        <v>663</v>
      </c>
      <c r="C85" s="135">
        <v>95799</v>
      </c>
      <c r="D85" s="135">
        <v>8021</v>
      </c>
      <c r="E85" s="135">
        <f t="shared" si="1"/>
        <v>103820</v>
      </c>
    </row>
    <row r="86" spans="1:5">
      <c r="A86" s="174" t="s">
        <v>439</v>
      </c>
      <c r="B86" s="116" t="s">
        <v>664</v>
      </c>
      <c r="C86" s="135">
        <v>9030</v>
      </c>
      <c r="D86" s="135">
        <v>756</v>
      </c>
      <c r="E86" s="135">
        <f t="shared" si="1"/>
        <v>9786</v>
      </c>
    </row>
    <row r="87" spans="1:5">
      <c r="A87" s="174" t="s">
        <v>441</v>
      </c>
      <c r="B87" s="116" t="s">
        <v>665</v>
      </c>
      <c r="C87" s="135">
        <v>1510</v>
      </c>
      <c r="D87" s="135">
        <v>126</v>
      </c>
      <c r="E87" s="135">
        <f t="shared" si="1"/>
        <v>1636</v>
      </c>
    </row>
    <row r="88" spans="1:5">
      <c r="A88" s="174" t="s">
        <v>445</v>
      </c>
      <c r="B88" s="116" t="s">
        <v>666</v>
      </c>
      <c r="C88" s="135">
        <v>25716</v>
      </c>
      <c r="D88" s="135">
        <v>2153</v>
      </c>
      <c r="E88" s="135">
        <f t="shared" si="1"/>
        <v>27869</v>
      </c>
    </row>
    <row r="89" spans="1:5">
      <c r="A89" s="174" t="s">
        <v>447</v>
      </c>
      <c r="B89" s="116" t="s">
        <v>667</v>
      </c>
      <c r="C89" s="135">
        <v>6585</v>
      </c>
      <c r="D89" s="135">
        <v>551</v>
      </c>
      <c r="E89" s="135">
        <f t="shared" si="1"/>
        <v>7136</v>
      </c>
    </row>
    <row r="90" spans="1:5">
      <c r="A90" s="174" t="s">
        <v>449</v>
      </c>
      <c r="B90" s="116" t="s">
        <v>668</v>
      </c>
      <c r="C90" s="135">
        <v>56852</v>
      </c>
      <c r="D90" s="135">
        <v>4760</v>
      </c>
      <c r="E90" s="135">
        <f t="shared" si="1"/>
        <v>61612</v>
      </c>
    </row>
    <row r="91" spans="1:5">
      <c r="A91" s="174" t="s">
        <v>332</v>
      </c>
      <c r="B91" s="116" t="s">
        <v>669</v>
      </c>
      <c r="C91" s="135">
        <v>1009911</v>
      </c>
      <c r="D91" s="135">
        <v>84560</v>
      </c>
      <c r="E91" s="135">
        <f t="shared" si="1"/>
        <v>1094471</v>
      </c>
    </row>
    <row r="92" spans="1:5">
      <c r="A92" s="174" t="s">
        <v>334</v>
      </c>
      <c r="B92" s="116" t="s">
        <v>670</v>
      </c>
      <c r="C92" s="135">
        <v>77756</v>
      </c>
      <c r="D92" s="135">
        <v>6511</v>
      </c>
      <c r="E92" s="135">
        <f t="shared" si="1"/>
        <v>84267</v>
      </c>
    </row>
    <row r="93" spans="1:5">
      <c r="A93" s="174" t="s">
        <v>336</v>
      </c>
      <c r="B93" s="116" t="s">
        <v>671</v>
      </c>
      <c r="C93" s="135">
        <v>15975</v>
      </c>
      <c r="D93" s="135">
        <v>1338</v>
      </c>
      <c r="E93" s="135">
        <f t="shared" si="1"/>
        <v>17313</v>
      </c>
    </row>
    <row r="94" spans="1:5">
      <c r="A94" s="174" t="s">
        <v>338</v>
      </c>
      <c r="B94" s="116" t="s">
        <v>672</v>
      </c>
      <c r="C94" s="135">
        <v>80456</v>
      </c>
      <c r="D94" s="135">
        <v>6736</v>
      </c>
      <c r="E94" s="135">
        <f t="shared" si="1"/>
        <v>87192</v>
      </c>
    </row>
    <row r="95" spans="1:5">
      <c r="A95" s="174" t="s">
        <v>964</v>
      </c>
      <c r="B95" s="116" t="s">
        <v>963</v>
      </c>
      <c r="C95" s="135">
        <v>20453</v>
      </c>
      <c r="D95" s="135">
        <v>1713</v>
      </c>
      <c r="E95" s="135">
        <f t="shared" si="1"/>
        <v>22166</v>
      </c>
    </row>
    <row r="96" spans="1:5">
      <c r="A96" s="175" t="s">
        <v>1051</v>
      </c>
      <c r="B96" s="116" t="s">
        <v>1354</v>
      </c>
      <c r="C96" s="135">
        <v>6168</v>
      </c>
      <c r="D96" s="135">
        <v>0</v>
      </c>
      <c r="E96" s="135">
        <f t="shared" si="1"/>
        <v>6168</v>
      </c>
    </row>
    <row r="97" spans="1:5">
      <c r="A97" s="175" t="s">
        <v>1509</v>
      </c>
      <c r="B97" s="116" t="s">
        <v>1572</v>
      </c>
      <c r="C97" s="135">
        <v>4209</v>
      </c>
      <c r="D97" s="135">
        <v>0</v>
      </c>
      <c r="E97" s="135">
        <f t="shared" si="1"/>
        <v>4209</v>
      </c>
    </row>
    <row r="98" spans="1:5">
      <c r="A98" s="174" t="s">
        <v>340</v>
      </c>
      <c r="B98" s="116" t="s">
        <v>673</v>
      </c>
      <c r="C98" s="135">
        <v>11788</v>
      </c>
      <c r="D98" s="135">
        <v>987</v>
      </c>
      <c r="E98" s="135">
        <f t="shared" si="1"/>
        <v>12775</v>
      </c>
    </row>
    <row r="99" spans="1:5">
      <c r="A99" s="174" t="s">
        <v>342</v>
      </c>
      <c r="B99" s="116" t="s">
        <v>674</v>
      </c>
      <c r="C99" s="135">
        <v>1245</v>
      </c>
      <c r="D99" s="135">
        <v>104</v>
      </c>
      <c r="E99" s="135">
        <f t="shared" si="1"/>
        <v>1349</v>
      </c>
    </row>
    <row r="100" spans="1:5">
      <c r="A100" s="174" t="s">
        <v>344</v>
      </c>
      <c r="B100" s="116" t="s">
        <v>675</v>
      </c>
      <c r="C100" s="135">
        <v>843031</v>
      </c>
      <c r="D100" s="135">
        <v>70591</v>
      </c>
      <c r="E100" s="135">
        <f t="shared" si="1"/>
        <v>913622</v>
      </c>
    </row>
    <row r="101" spans="1:5">
      <c r="A101" s="174" t="s">
        <v>454</v>
      </c>
      <c r="B101" s="116" t="s">
        <v>676</v>
      </c>
      <c r="C101" s="135">
        <v>1913</v>
      </c>
      <c r="D101" s="135">
        <v>160</v>
      </c>
      <c r="E101" s="135">
        <f t="shared" si="1"/>
        <v>2073</v>
      </c>
    </row>
    <row r="102" spans="1:5">
      <c r="A102" s="174" t="s">
        <v>456</v>
      </c>
      <c r="B102" s="116" t="s">
        <v>677</v>
      </c>
      <c r="C102" s="135">
        <v>231114</v>
      </c>
      <c r="D102" s="135">
        <v>19351</v>
      </c>
      <c r="E102" s="135">
        <f t="shared" si="1"/>
        <v>250465</v>
      </c>
    </row>
    <row r="103" spans="1:5">
      <c r="A103" s="174" t="s">
        <v>458</v>
      </c>
      <c r="B103" s="116" t="s">
        <v>678</v>
      </c>
      <c r="C103" s="135">
        <v>916066</v>
      </c>
      <c r="D103" s="135">
        <v>76702</v>
      </c>
      <c r="E103" s="135">
        <f t="shared" si="1"/>
        <v>992768</v>
      </c>
    </row>
    <row r="104" spans="1:5">
      <c r="A104" s="174" t="s">
        <v>460</v>
      </c>
      <c r="B104" s="116" t="s">
        <v>679</v>
      </c>
      <c r="C104" s="135">
        <v>1214630</v>
      </c>
      <c r="D104" s="135">
        <v>101701</v>
      </c>
      <c r="E104" s="135">
        <f t="shared" si="1"/>
        <v>1316331</v>
      </c>
    </row>
    <row r="105" spans="1:5">
      <c r="A105" s="174" t="s">
        <v>479</v>
      </c>
      <c r="B105" s="116" t="s">
        <v>680</v>
      </c>
      <c r="C105" s="135">
        <v>52575</v>
      </c>
      <c r="D105" s="135">
        <v>4402</v>
      </c>
      <c r="E105" s="135">
        <f t="shared" si="1"/>
        <v>56977</v>
      </c>
    </row>
    <row r="106" spans="1:5">
      <c r="A106" s="174" t="s">
        <v>481</v>
      </c>
      <c r="B106" s="116" t="s">
        <v>849</v>
      </c>
      <c r="C106" s="135">
        <v>70082</v>
      </c>
      <c r="D106" s="135">
        <v>5868</v>
      </c>
      <c r="E106" s="135">
        <f t="shared" si="1"/>
        <v>75950</v>
      </c>
    </row>
    <row r="107" spans="1:5">
      <c r="A107" s="174" t="s">
        <v>482</v>
      </c>
      <c r="B107" s="116" t="s">
        <v>681</v>
      </c>
      <c r="C107" s="135">
        <v>30186</v>
      </c>
      <c r="D107" s="135">
        <v>2527</v>
      </c>
      <c r="E107" s="135">
        <f t="shared" si="1"/>
        <v>32713</v>
      </c>
    </row>
    <row r="108" spans="1:5">
      <c r="A108" s="174" t="s">
        <v>121</v>
      </c>
      <c r="B108" s="116" t="s">
        <v>682</v>
      </c>
      <c r="C108" s="135">
        <v>67320</v>
      </c>
      <c r="D108" s="135">
        <v>5637</v>
      </c>
      <c r="E108" s="135">
        <f t="shared" si="1"/>
        <v>72957</v>
      </c>
    </row>
    <row r="109" spans="1:5">
      <c r="A109" s="174" t="s">
        <v>295</v>
      </c>
      <c r="B109" s="116" t="s">
        <v>683</v>
      </c>
      <c r="C109" s="135">
        <v>30769</v>
      </c>
      <c r="D109" s="135">
        <v>2576</v>
      </c>
      <c r="E109" s="135">
        <f t="shared" si="1"/>
        <v>33345</v>
      </c>
    </row>
    <row r="110" spans="1:5">
      <c r="A110" s="174" t="s">
        <v>123</v>
      </c>
      <c r="B110" s="116" t="s">
        <v>684</v>
      </c>
      <c r="C110" s="135">
        <v>3970</v>
      </c>
      <c r="D110" s="135">
        <v>332</v>
      </c>
      <c r="E110" s="135">
        <f t="shared" si="1"/>
        <v>4302</v>
      </c>
    </row>
    <row r="111" spans="1:5">
      <c r="A111" s="174" t="s">
        <v>124</v>
      </c>
      <c r="B111" s="116" t="s">
        <v>685</v>
      </c>
      <c r="C111" s="135">
        <v>63642</v>
      </c>
      <c r="D111" s="135">
        <v>5329</v>
      </c>
      <c r="E111" s="135">
        <f t="shared" si="1"/>
        <v>68971</v>
      </c>
    </row>
    <row r="112" spans="1:5">
      <c r="A112" s="174" t="s">
        <v>126</v>
      </c>
      <c r="B112" s="116" t="s">
        <v>686</v>
      </c>
      <c r="C112" s="135">
        <v>399114</v>
      </c>
      <c r="D112" s="135">
        <v>33419</v>
      </c>
      <c r="E112" s="135">
        <f t="shared" si="1"/>
        <v>432533</v>
      </c>
    </row>
    <row r="113" spans="1:5">
      <c r="A113" s="174" t="s">
        <v>128</v>
      </c>
      <c r="B113" s="116" t="s">
        <v>687</v>
      </c>
      <c r="C113" s="135">
        <v>1374277</v>
      </c>
      <c r="D113" s="135">
        <v>115074</v>
      </c>
      <c r="E113" s="135">
        <f t="shared" si="1"/>
        <v>1489351</v>
      </c>
    </row>
    <row r="114" spans="1:5">
      <c r="A114" s="174" t="s">
        <v>130</v>
      </c>
      <c r="B114" s="116" t="s">
        <v>688</v>
      </c>
      <c r="C114" s="135">
        <v>117532</v>
      </c>
      <c r="D114" s="135">
        <v>9841</v>
      </c>
      <c r="E114" s="135">
        <f t="shared" si="1"/>
        <v>127373</v>
      </c>
    </row>
    <row r="115" spans="1:5">
      <c r="A115" s="174" t="s">
        <v>132</v>
      </c>
      <c r="B115" s="116" t="s">
        <v>689</v>
      </c>
      <c r="C115" s="135">
        <v>1926</v>
      </c>
      <c r="D115" s="135">
        <v>161</v>
      </c>
      <c r="E115" s="135">
        <f t="shared" si="1"/>
        <v>2087</v>
      </c>
    </row>
    <row r="116" spans="1:5">
      <c r="A116" s="174" t="s">
        <v>462</v>
      </c>
      <c r="B116" s="116" t="s">
        <v>690</v>
      </c>
      <c r="C116" s="135">
        <v>35168</v>
      </c>
      <c r="D116" s="135">
        <v>2945</v>
      </c>
      <c r="E116" s="135">
        <f t="shared" si="1"/>
        <v>38113</v>
      </c>
    </row>
    <row r="117" spans="1:5">
      <c r="A117" s="174" t="s">
        <v>464</v>
      </c>
      <c r="B117" s="116" t="s">
        <v>691</v>
      </c>
      <c r="C117" s="135">
        <v>11239</v>
      </c>
      <c r="D117" s="135">
        <v>941</v>
      </c>
      <c r="E117" s="135">
        <f t="shared" si="1"/>
        <v>12180</v>
      </c>
    </row>
    <row r="118" spans="1:5">
      <c r="A118" s="174" t="s">
        <v>466</v>
      </c>
      <c r="B118" s="116" t="s">
        <v>692</v>
      </c>
      <c r="C118" s="135">
        <v>321528</v>
      </c>
      <c r="D118" s="135">
        <v>26921</v>
      </c>
      <c r="E118" s="135">
        <f t="shared" si="1"/>
        <v>348449</v>
      </c>
    </row>
    <row r="119" spans="1:5">
      <c r="A119" s="174" t="s">
        <v>468</v>
      </c>
      <c r="B119" s="116" t="s">
        <v>693</v>
      </c>
      <c r="C119" s="135">
        <v>13162</v>
      </c>
      <c r="D119" s="135">
        <v>1102</v>
      </c>
      <c r="E119" s="135">
        <f t="shared" si="1"/>
        <v>14264</v>
      </c>
    </row>
    <row r="120" spans="1:5">
      <c r="A120" s="174" t="s">
        <v>470</v>
      </c>
      <c r="B120" s="116" t="s">
        <v>850</v>
      </c>
      <c r="C120" s="135">
        <v>11176</v>
      </c>
      <c r="D120" s="135">
        <v>936</v>
      </c>
      <c r="E120" s="135">
        <f t="shared" si="1"/>
        <v>12112</v>
      </c>
    </row>
    <row r="121" spans="1:5">
      <c r="A121" s="175" t="s">
        <v>1052</v>
      </c>
      <c r="B121" s="116" t="s">
        <v>1048</v>
      </c>
      <c r="C121" s="135">
        <v>1573</v>
      </c>
      <c r="D121" s="135">
        <v>0</v>
      </c>
      <c r="E121" s="135">
        <f t="shared" si="1"/>
        <v>1573</v>
      </c>
    </row>
    <row r="122" spans="1:5">
      <c r="A122" s="174" t="s">
        <v>488</v>
      </c>
      <c r="B122" s="116" t="s">
        <v>694</v>
      </c>
      <c r="C122" s="135">
        <v>193620</v>
      </c>
      <c r="D122" s="135">
        <v>16212</v>
      </c>
      <c r="E122" s="135">
        <f t="shared" si="1"/>
        <v>209832</v>
      </c>
    </row>
    <row r="123" spans="1:5">
      <c r="A123" s="174" t="s">
        <v>490</v>
      </c>
      <c r="B123" s="116" t="s">
        <v>695</v>
      </c>
      <c r="C123" s="135">
        <v>45038</v>
      </c>
      <c r="D123" s="135">
        <v>3771</v>
      </c>
      <c r="E123" s="135">
        <f t="shared" si="1"/>
        <v>48809</v>
      </c>
    </row>
    <row r="124" spans="1:5">
      <c r="A124" s="174" t="s">
        <v>492</v>
      </c>
      <c r="B124" s="116" t="s">
        <v>696</v>
      </c>
      <c r="C124" s="135">
        <v>4699</v>
      </c>
      <c r="D124" s="135">
        <v>393</v>
      </c>
      <c r="E124" s="135">
        <f t="shared" si="1"/>
        <v>5092</v>
      </c>
    </row>
    <row r="125" spans="1:5">
      <c r="A125" s="174" t="s">
        <v>494</v>
      </c>
      <c r="B125" s="116" t="s">
        <v>697</v>
      </c>
      <c r="C125" s="135">
        <v>32114</v>
      </c>
      <c r="D125" s="135">
        <v>2689</v>
      </c>
      <c r="E125" s="135">
        <f t="shared" si="1"/>
        <v>34803</v>
      </c>
    </row>
    <row r="126" spans="1:5">
      <c r="A126" s="174" t="s">
        <v>496</v>
      </c>
      <c r="B126" s="116" t="s">
        <v>851</v>
      </c>
      <c r="C126" s="135">
        <v>92360</v>
      </c>
      <c r="D126" s="135">
        <v>7734</v>
      </c>
      <c r="E126" s="135">
        <f t="shared" si="1"/>
        <v>100094</v>
      </c>
    </row>
    <row r="127" spans="1:5">
      <c r="A127" s="174" t="s">
        <v>497</v>
      </c>
      <c r="B127" s="116" t="s">
        <v>698</v>
      </c>
      <c r="C127" s="135">
        <v>22632</v>
      </c>
      <c r="D127" s="135">
        <v>1895</v>
      </c>
      <c r="E127" s="135">
        <f t="shared" si="1"/>
        <v>24527</v>
      </c>
    </row>
    <row r="128" spans="1:5">
      <c r="A128" s="174" t="s">
        <v>499</v>
      </c>
      <c r="B128" s="116" t="s">
        <v>699</v>
      </c>
      <c r="C128" s="135">
        <v>507315</v>
      </c>
      <c r="D128" s="135">
        <v>42478</v>
      </c>
      <c r="E128" s="135">
        <f t="shared" si="1"/>
        <v>549793</v>
      </c>
    </row>
    <row r="129" spans="1:5">
      <c r="A129" s="174" t="s">
        <v>38</v>
      </c>
      <c r="B129" s="116" t="s">
        <v>852</v>
      </c>
      <c r="C129" s="135">
        <v>13722</v>
      </c>
      <c r="D129" s="135">
        <v>1149</v>
      </c>
      <c r="E129" s="135">
        <f t="shared" si="1"/>
        <v>14871</v>
      </c>
    </row>
    <row r="130" spans="1:5">
      <c r="A130" s="174" t="s">
        <v>39</v>
      </c>
      <c r="B130" s="116" t="s">
        <v>700</v>
      </c>
      <c r="C130" s="135">
        <v>492032</v>
      </c>
      <c r="D130" s="135">
        <v>41199</v>
      </c>
      <c r="E130" s="135">
        <f t="shared" si="1"/>
        <v>533231</v>
      </c>
    </row>
    <row r="131" spans="1:5">
      <c r="A131" s="174" t="s">
        <v>41</v>
      </c>
      <c r="B131" s="116" t="s">
        <v>701</v>
      </c>
      <c r="C131" s="135">
        <v>81458</v>
      </c>
      <c r="D131" s="135">
        <v>6821</v>
      </c>
      <c r="E131" s="135">
        <f t="shared" ref="E131:E194" si="2">C131+D131</f>
        <v>88279</v>
      </c>
    </row>
    <row r="132" spans="1:5">
      <c r="A132" s="174" t="s">
        <v>43</v>
      </c>
      <c r="B132" s="116" t="s">
        <v>702</v>
      </c>
      <c r="C132" s="135">
        <v>191763</v>
      </c>
      <c r="D132" s="135">
        <v>16057</v>
      </c>
      <c r="E132" s="135">
        <f t="shared" si="2"/>
        <v>207820</v>
      </c>
    </row>
    <row r="133" spans="1:5">
      <c r="A133" s="174" t="s">
        <v>45</v>
      </c>
      <c r="B133" s="116" t="s">
        <v>703</v>
      </c>
      <c r="C133" s="135">
        <v>81238</v>
      </c>
      <c r="D133" s="135">
        <v>6802</v>
      </c>
      <c r="E133" s="135">
        <f t="shared" si="2"/>
        <v>88040</v>
      </c>
    </row>
    <row r="134" spans="1:5">
      <c r="A134" s="174" t="s">
        <v>71</v>
      </c>
      <c r="B134" s="116" t="s">
        <v>704</v>
      </c>
      <c r="C134" s="135">
        <v>280257</v>
      </c>
      <c r="D134" s="135">
        <v>23467</v>
      </c>
      <c r="E134" s="135">
        <f t="shared" si="2"/>
        <v>303724</v>
      </c>
    </row>
    <row r="135" spans="1:5">
      <c r="A135" s="174" t="s">
        <v>73</v>
      </c>
      <c r="B135" s="116" t="s">
        <v>705</v>
      </c>
      <c r="C135" s="135">
        <v>63156</v>
      </c>
      <c r="D135" s="135">
        <v>5288</v>
      </c>
      <c r="E135" s="135">
        <f t="shared" si="2"/>
        <v>68444</v>
      </c>
    </row>
    <row r="136" spans="1:5">
      <c r="A136" s="174" t="s">
        <v>75</v>
      </c>
      <c r="B136" s="116" t="s">
        <v>706</v>
      </c>
      <c r="C136" s="135">
        <v>15819</v>
      </c>
      <c r="D136" s="135">
        <v>1325</v>
      </c>
      <c r="E136" s="135">
        <f t="shared" si="2"/>
        <v>17144</v>
      </c>
    </row>
    <row r="137" spans="1:5">
      <c r="A137" s="174" t="s">
        <v>205</v>
      </c>
      <c r="B137" s="116" t="s">
        <v>707</v>
      </c>
      <c r="C137" s="135">
        <v>415953</v>
      </c>
      <c r="D137" s="135">
        <v>34827</v>
      </c>
      <c r="E137" s="135">
        <f t="shared" si="2"/>
        <v>450780</v>
      </c>
    </row>
    <row r="138" spans="1:5">
      <c r="A138" s="174" t="s">
        <v>207</v>
      </c>
      <c r="B138" s="116" t="s">
        <v>708</v>
      </c>
      <c r="C138" s="135">
        <v>26446</v>
      </c>
      <c r="D138" s="135">
        <v>2214</v>
      </c>
      <c r="E138" s="135">
        <f t="shared" si="2"/>
        <v>28660</v>
      </c>
    </row>
    <row r="139" spans="1:5">
      <c r="A139" s="174" t="s">
        <v>209</v>
      </c>
      <c r="B139" s="116" t="s">
        <v>709</v>
      </c>
      <c r="C139" s="135">
        <v>48589</v>
      </c>
      <c r="D139" s="135">
        <v>4068</v>
      </c>
      <c r="E139" s="135">
        <f t="shared" si="2"/>
        <v>52657</v>
      </c>
    </row>
    <row r="140" spans="1:5">
      <c r="A140" s="174" t="s">
        <v>211</v>
      </c>
      <c r="B140" s="116" t="s">
        <v>710</v>
      </c>
      <c r="C140" s="135">
        <v>82116</v>
      </c>
      <c r="D140" s="135">
        <v>6876</v>
      </c>
      <c r="E140" s="135">
        <f t="shared" si="2"/>
        <v>88992</v>
      </c>
    </row>
    <row r="141" spans="1:5">
      <c r="A141" s="174" t="s">
        <v>89</v>
      </c>
      <c r="B141" s="116" t="s">
        <v>711</v>
      </c>
      <c r="C141" s="135">
        <v>347120</v>
      </c>
      <c r="D141" s="135">
        <v>29064</v>
      </c>
      <c r="E141" s="135">
        <f t="shared" si="2"/>
        <v>376184</v>
      </c>
    </row>
    <row r="142" spans="1:5">
      <c r="A142" s="174" t="s">
        <v>90</v>
      </c>
      <c r="B142" s="116" t="s">
        <v>712</v>
      </c>
      <c r="C142" s="135">
        <v>743781</v>
      </c>
      <c r="D142" s="135">
        <v>62277</v>
      </c>
      <c r="E142" s="135">
        <f t="shared" si="2"/>
        <v>806058</v>
      </c>
    </row>
    <row r="143" spans="1:5">
      <c r="A143" s="174" t="s">
        <v>92</v>
      </c>
      <c r="B143" s="116" t="s">
        <v>713</v>
      </c>
      <c r="C143" s="135">
        <v>58347</v>
      </c>
      <c r="D143" s="135">
        <v>4885</v>
      </c>
      <c r="E143" s="135">
        <f t="shared" si="2"/>
        <v>63232</v>
      </c>
    </row>
    <row r="144" spans="1:5">
      <c r="A144" s="174" t="s">
        <v>94</v>
      </c>
      <c r="B144" s="116" t="s">
        <v>714</v>
      </c>
      <c r="C144" s="135">
        <v>36275</v>
      </c>
      <c r="D144" s="135">
        <v>3037</v>
      </c>
      <c r="E144" s="135">
        <f t="shared" si="2"/>
        <v>39312</v>
      </c>
    </row>
    <row r="145" spans="1:5">
      <c r="A145" s="174" t="s">
        <v>97</v>
      </c>
      <c r="B145" s="116" t="s">
        <v>715</v>
      </c>
      <c r="C145" s="135">
        <v>7931</v>
      </c>
      <c r="D145" s="135">
        <v>664</v>
      </c>
      <c r="E145" s="135">
        <f t="shared" si="2"/>
        <v>8595</v>
      </c>
    </row>
    <row r="146" spans="1:5">
      <c r="A146" s="174" t="s">
        <v>99</v>
      </c>
      <c r="B146" s="116" t="s">
        <v>716</v>
      </c>
      <c r="C146" s="135">
        <v>47376</v>
      </c>
      <c r="D146" s="135">
        <v>3967</v>
      </c>
      <c r="E146" s="135">
        <f t="shared" si="2"/>
        <v>51343</v>
      </c>
    </row>
    <row r="147" spans="1:5">
      <c r="A147" s="174" t="s">
        <v>101</v>
      </c>
      <c r="B147" s="116" t="s">
        <v>717</v>
      </c>
      <c r="C147" s="135">
        <v>57746</v>
      </c>
      <c r="D147" s="135">
        <v>4835</v>
      </c>
      <c r="E147" s="135">
        <f t="shared" si="2"/>
        <v>62581</v>
      </c>
    </row>
    <row r="148" spans="1:5">
      <c r="A148" s="174" t="s">
        <v>103</v>
      </c>
      <c r="B148" s="116" t="s">
        <v>718</v>
      </c>
      <c r="C148" s="135">
        <v>91510</v>
      </c>
      <c r="D148" s="135">
        <v>7662</v>
      </c>
      <c r="E148" s="135">
        <f t="shared" si="2"/>
        <v>99172</v>
      </c>
    </row>
    <row r="149" spans="1:5">
      <c r="A149" s="174" t="s">
        <v>214</v>
      </c>
      <c r="B149" s="116" t="s">
        <v>719</v>
      </c>
      <c r="C149" s="135">
        <v>38002</v>
      </c>
      <c r="D149" s="135">
        <v>3182</v>
      </c>
      <c r="E149" s="135">
        <f t="shared" si="2"/>
        <v>41184</v>
      </c>
    </row>
    <row r="150" spans="1:5">
      <c r="A150" s="174" t="s">
        <v>216</v>
      </c>
      <c r="B150" s="116" t="s">
        <v>720</v>
      </c>
      <c r="C150" s="135">
        <v>106020</v>
      </c>
      <c r="D150" s="135">
        <v>8877</v>
      </c>
      <c r="E150" s="135">
        <f t="shared" si="2"/>
        <v>114897</v>
      </c>
    </row>
    <row r="151" spans="1:5">
      <c r="A151" s="174" t="s">
        <v>48</v>
      </c>
      <c r="B151" s="116" t="s">
        <v>721</v>
      </c>
      <c r="C151" s="135">
        <v>249561</v>
      </c>
      <c r="D151" s="135">
        <v>20896</v>
      </c>
      <c r="E151" s="135">
        <f t="shared" si="2"/>
        <v>270457</v>
      </c>
    </row>
    <row r="152" spans="1:5">
      <c r="A152" s="174" t="s">
        <v>50</v>
      </c>
      <c r="B152" s="116" t="s">
        <v>722</v>
      </c>
      <c r="C152" s="135">
        <v>107711</v>
      </c>
      <c r="D152" s="135">
        <v>9019</v>
      </c>
      <c r="E152" s="135">
        <f t="shared" si="2"/>
        <v>116730</v>
      </c>
    </row>
    <row r="153" spans="1:5">
      <c r="A153" s="174" t="s">
        <v>316</v>
      </c>
      <c r="B153" s="116" t="s">
        <v>723</v>
      </c>
      <c r="C153" s="135">
        <v>3296</v>
      </c>
      <c r="D153" s="135">
        <v>276</v>
      </c>
      <c r="E153" s="135">
        <f t="shared" si="2"/>
        <v>3572</v>
      </c>
    </row>
    <row r="154" spans="1:5">
      <c r="A154" s="174" t="s">
        <v>318</v>
      </c>
      <c r="B154" s="116" t="s">
        <v>724</v>
      </c>
      <c r="C154" s="135">
        <v>711118</v>
      </c>
      <c r="D154" s="135">
        <v>59543</v>
      </c>
      <c r="E154" s="135">
        <f t="shared" si="2"/>
        <v>770661</v>
      </c>
    </row>
    <row r="155" spans="1:5">
      <c r="A155" s="174" t="s">
        <v>320</v>
      </c>
      <c r="B155" s="116" t="s">
        <v>725</v>
      </c>
      <c r="C155" s="135">
        <v>13080</v>
      </c>
      <c r="D155" s="135">
        <v>1095</v>
      </c>
      <c r="E155" s="135">
        <f t="shared" si="2"/>
        <v>14175</v>
      </c>
    </row>
    <row r="156" spans="1:5">
      <c r="A156" s="174" t="s">
        <v>322</v>
      </c>
      <c r="B156" s="116" t="s">
        <v>726</v>
      </c>
      <c r="C156" s="135">
        <v>1000667</v>
      </c>
      <c r="D156" s="135">
        <v>83790</v>
      </c>
      <c r="E156" s="135">
        <f t="shared" si="2"/>
        <v>1084457</v>
      </c>
    </row>
    <row r="157" spans="1:5">
      <c r="A157" s="174" t="s">
        <v>324</v>
      </c>
      <c r="B157" s="116" t="s">
        <v>727</v>
      </c>
      <c r="C157" s="135">
        <v>266972</v>
      </c>
      <c r="D157" s="135">
        <v>22354</v>
      </c>
      <c r="E157" s="135">
        <f t="shared" si="2"/>
        <v>289326</v>
      </c>
    </row>
    <row r="158" spans="1:5">
      <c r="A158" s="174" t="s">
        <v>326</v>
      </c>
      <c r="B158" s="116" t="s">
        <v>728</v>
      </c>
      <c r="C158" s="135">
        <v>6774</v>
      </c>
      <c r="D158" s="135">
        <v>495</v>
      </c>
      <c r="E158" s="135">
        <f t="shared" si="2"/>
        <v>7269</v>
      </c>
    </row>
    <row r="159" spans="1:5">
      <c r="A159" s="174" t="s">
        <v>328</v>
      </c>
      <c r="B159" s="116" t="s">
        <v>729</v>
      </c>
      <c r="C159" s="135">
        <v>14809</v>
      </c>
      <c r="D159" s="135">
        <v>1240</v>
      </c>
      <c r="E159" s="135">
        <f t="shared" si="2"/>
        <v>16049</v>
      </c>
    </row>
    <row r="160" spans="1:5">
      <c r="A160" s="174" t="s">
        <v>104</v>
      </c>
      <c r="B160" s="116" t="s">
        <v>730</v>
      </c>
      <c r="C160" s="135">
        <v>32084</v>
      </c>
      <c r="D160" s="135">
        <v>2686</v>
      </c>
      <c r="E160" s="135">
        <f t="shared" si="2"/>
        <v>34770</v>
      </c>
    </row>
    <row r="161" spans="1:5">
      <c r="A161" s="174" t="s">
        <v>106</v>
      </c>
      <c r="B161" s="116" t="s">
        <v>731</v>
      </c>
      <c r="C161" s="135">
        <v>10214</v>
      </c>
      <c r="D161" s="135">
        <v>855</v>
      </c>
      <c r="E161" s="135">
        <f t="shared" si="2"/>
        <v>11069</v>
      </c>
    </row>
    <row r="162" spans="1:5">
      <c r="A162" s="174" t="s">
        <v>108</v>
      </c>
      <c r="B162" s="116" t="s">
        <v>732</v>
      </c>
      <c r="C162" s="135">
        <v>55014</v>
      </c>
      <c r="D162" s="135">
        <v>4606</v>
      </c>
      <c r="E162" s="135">
        <f t="shared" si="2"/>
        <v>59620</v>
      </c>
    </row>
    <row r="163" spans="1:5">
      <c r="A163" s="174" t="s">
        <v>110</v>
      </c>
      <c r="B163" s="116" t="s">
        <v>733</v>
      </c>
      <c r="C163" s="135">
        <v>454727</v>
      </c>
      <c r="D163" s="135">
        <v>38075</v>
      </c>
      <c r="E163" s="135">
        <f t="shared" si="2"/>
        <v>492802</v>
      </c>
    </row>
    <row r="164" spans="1:5">
      <c r="A164" s="174" t="s">
        <v>112</v>
      </c>
      <c r="B164" s="116" t="s">
        <v>734</v>
      </c>
      <c r="C164" s="135">
        <v>399052</v>
      </c>
      <c r="D164" s="135">
        <v>33413</v>
      </c>
      <c r="E164" s="135">
        <f t="shared" si="2"/>
        <v>432465</v>
      </c>
    </row>
    <row r="165" spans="1:5">
      <c r="A165" s="174" t="s">
        <v>114</v>
      </c>
      <c r="B165" s="116" t="s">
        <v>735</v>
      </c>
      <c r="C165" s="135">
        <v>40223</v>
      </c>
      <c r="D165" s="135">
        <v>3368</v>
      </c>
      <c r="E165" s="135">
        <f t="shared" si="2"/>
        <v>43591</v>
      </c>
    </row>
    <row r="166" spans="1:5">
      <c r="A166" s="174" t="s">
        <v>116</v>
      </c>
      <c r="B166" s="116" t="s">
        <v>736</v>
      </c>
      <c r="C166" s="135">
        <v>2108</v>
      </c>
      <c r="D166" s="135">
        <v>176</v>
      </c>
      <c r="E166" s="135">
        <f t="shared" si="2"/>
        <v>2284</v>
      </c>
    </row>
    <row r="167" spans="1:5">
      <c r="A167" s="174" t="s">
        <v>118</v>
      </c>
      <c r="B167" s="116" t="s">
        <v>737</v>
      </c>
      <c r="C167" s="135">
        <v>39055</v>
      </c>
      <c r="D167" s="135">
        <v>3270</v>
      </c>
      <c r="E167" s="135">
        <f t="shared" si="2"/>
        <v>42325</v>
      </c>
    </row>
    <row r="168" spans="1:5">
      <c r="A168" s="174" t="s">
        <v>119</v>
      </c>
      <c r="B168" s="116" t="s">
        <v>738</v>
      </c>
      <c r="C168" s="135">
        <v>14270</v>
      </c>
      <c r="D168" s="135">
        <v>1195</v>
      </c>
      <c r="E168" s="135">
        <f t="shared" si="2"/>
        <v>15465</v>
      </c>
    </row>
    <row r="169" spans="1:5">
      <c r="A169" s="174" t="s">
        <v>159</v>
      </c>
      <c r="B169" s="116" t="s">
        <v>739</v>
      </c>
      <c r="C169" s="135">
        <v>2696</v>
      </c>
      <c r="D169" s="135">
        <v>226</v>
      </c>
      <c r="E169" s="135">
        <f t="shared" si="2"/>
        <v>2922</v>
      </c>
    </row>
    <row r="170" spans="1:5">
      <c r="A170" s="174" t="s">
        <v>163</v>
      </c>
      <c r="B170" s="116" t="s">
        <v>740</v>
      </c>
      <c r="C170" s="135">
        <v>27798</v>
      </c>
      <c r="D170" s="135">
        <v>2327</v>
      </c>
      <c r="E170" s="135">
        <f t="shared" si="2"/>
        <v>30125</v>
      </c>
    </row>
    <row r="171" spans="1:5">
      <c r="A171" s="174" t="s">
        <v>165</v>
      </c>
      <c r="B171" s="116" t="s">
        <v>741</v>
      </c>
      <c r="C171" s="135">
        <v>109564</v>
      </c>
      <c r="D171" s="135">
        <v>9174</v>
      </c>
      <c r="E171" s="135">
        <f t="shared" si="2"/>
        <v>118738</v>
      </c>
    </row>
    <row r="172" spans="1:5">
      <c r="A172" s="174" t="s">
        <v>167</v>
      </c>
      <c r="B172" s="116" t="s">
        <v>742</v>
      </c>
      <c r="C172" s="135">
        <v>241360</v>
      </c>
      <c r="D172" s="135">
        <v>20209</v>
      </c>
      <c r="E172" s="135">
        <f t="shared" si="2"/>
        <v>261569</v>
      </c>
    </row>
    <row r="173" spans="1:5">
      <c r="A173" s="174" t="s">
        <v>169</v>
      </c>
      <c r="B173" s="116" t="s">
        <v>743</v>
      </c>
      <c r="C173" s="135">
        <v>1518</v>
      </c>
      <c r="D173" s="135">
        <v>127</v>
      </c>
      <c r="E173" s="135">
        <f t="shared" si="2"/>
        <v>1645</v>
      </c>
    </row>
    <row r="174" spans="1:5">
      <c r="A174" s="174" t="s">
        <v>0</v>
      </c>
      <c r="B174" s="116" t="s">
        <v>744</v>
      </c>
      <c r="C174" s="135">
        <v>7837</v>
      </c>
      <c r="D174" s="135">
        <v>656</v>
      </c>
      <c r="E174" s="135">
        <f t="shared" si="2"/>
        <v>8493</v>
      </c>
    </row>
    <row r="175" spans="1:5">
      <c r="A175" s="174" t="s">
        <v>2</v>
      </c>
      <c r="B175" s="116" t="s">
        <v>745</v>
      </c>
      <c r="C175" s="135">
        <v>953024</v>
      </c>
      <c r="D175" s="135">
        <v>79796</v>
      </c>
      <c r="E175" s="135">
        <f t="shared" si="2"/>
        <v>1032820</v>
      </c>
    </row>
    <row r="176" spans="1:5">
      <c r="A176" s="174" t="s">
        <v>388</v>
      </c>
      <c r="B176" s="116" t="s">
        <v>746</v>
      </c>
      <c r="C176" s="135">
        <v>15289</v>
      </c>
      <c r="D176" s="135">
        <v>1280</v>
      </c>
      <c r="E176" s="135">
        <f t="shared" si="2"/>
        <v>16569</v>
      </c>
    </row>
    <row r="177" spans="1:5">
      <c r="A177" s="174" t="s">
        <v>391</v>
      </c>
      <c r="B177" s="116" t="s">
        <v>747</v>
      </c>
      <c r="C177" s="135">
        <v>7584</v>
      </c>
      <c r="D177" s="135">
        <v>635</v>
      </c>
      <c r="E177" s="135">
        <f t="shared" si="2"/>
        <v>8219</v>
      </c>
    </row>
    <row r="178" spans="1:5">
      <c r="A178" s="174" t="s">
        <v>393</v>
      </c>
      <c r="B178" s="116" t="s">
        <v>748</v>
      </c>
      <c r="C178" s="135">
        <v>13112</v>
      </c>
      <c r="D178" s="135">
        <v>1098</v>
      </c>
      <c r="E178" s="135">
        <f t="shared" si="2"/>
        <v>14210</v>
      </c>
    </row>
    <row r="179" spans="1:5">
      <c r="A179" s="174" t="s">
        <v>395</v>
      </c>
      <c r="B179" s="116" t="s">
        <v>749</v>
      </c>
      <c r="C179" s="135">
        <v>391243</v>
      </c>
      <c r="D179" s="135">
        <v>32760</v>
      </c>
      <c r="E179" s="135">
        <f t="shared" si="2"/>
        <v>424003</v>
      </c>
    </row>
    <row r="180" spans="1:5">
      <c r="A180" s="175" t="s">
        <v>1515</v>
      </c>
      <c r="B180" s="116" t="s">
        <v>1567</v>
      </c>
      <c r="C180" s="135">
        <v>4557</v>
      </c>
      <c r="D180" s="135">
        <v>0</v>
      </c>
      <c r="E180" s="135">
        <f t="shared" si="2"/>
        <v>4557</v>
      </c>
    </row>
    <row r="181" spans="1:5">
      <c r="A181" s="174" t="s">
        <v>397</v>
      </c>
      <c r="B181" s="116" t="s">
        <v>750</v>
      </c>
      <c r="C181" s="135">
        <v>32517</v>
      </c>
      <c r="D181" s="135">
        <v>2723</v>
      </c>
      <c r="E181" s="135">
        <f t="shared" si="2"/>
        <v>35240</v>
      </c>
    </row>
    <row r="182" spans="1:5">
      <c r="A182" s="174" t="s">
        <v>399</v>
      </c>
      <c r="B182" s="116" t="s">
        <v>751</v>
      </c>
      <c r="C182" s="135">
        <v>16674</v>
      </c>
      <c r="D182" s="135">
        <v>1396</v>
      </c>
      <c r="E182" s="135">
        <f t="shared" si="2"/>
        <v>18070</v>
      </c>
    </row>
    <row r="183" spans="1:5">
      <c r="A183" s="174" t="s">
        <v>401</v>
      </c>
      <c r="B183" s="116" t="s">
        <v>752</v>
      </c>
      <c r="C183" s="135">
        <v>171232</v>
      </c>
      <c r="D183" s="135">
        <v>14337</v>
      </c>
      <c r="E183" s="135">
        <f t="shared" si="2"/>
        <v>185569</v>
      </c>
    </row>
    <row r="184" spans="1:5">
      <c r="A184" s="174" t="s">
        <v>384</v>
      </c>
      <c r="B184" s="116" t="s">
        <v>753</v>
      </c>
      <c r="C184" s="135">
        <v>55434</v>
      </c>
      <c r="D184" s="135">
        <v>4642</v>
      </c>
      <c r="E184" s="135">
        <f t="shared" si="2"/>
        <v>60076</v>
      </c>
    </row>
    <row r="185" spans="1:5">
      <c r="A185" s="174" t="s">
        <v>386</v>
      </c>
      <c r="B185" s="116" t="s">
        <v>754</v>
      </c>
      <c r="C185" s="135">
        <v>13991</v>
      </c>
      <c r="D185" s="135">
        <v>1171</v>
      </c>
      <c r="E185" s="135">
        <f t="shared" si="2"/>
        <v>15162</v>
      </c>
    </row>
    <row r="186" spans="1:5">
      <c r="A186" s="174" t="s">
        <v>936</v>
      </c>
      <c r="B186" s="116" t="s">
        <v>916</v>
      </c>
      <c r="C186" s="135">
        <v>34742</v>
      </c>
      <c r="D186" s="135">
        <v>2909</v>
      </c>
      <c r="E186" s="135">
        <f t="shared" si="2"/>
        <v>37651</v>
      </c>
    </row>
    <row r="187" spans="1:5">
      <c r="A187" s="174" t="s">
        <v>348</v>
      </c>
      <c r="B187" s="116" t="s">
        <v>755</v>
      </c>
      <c r="C187" s="135">
        <v>128780</v>
      </c>
      <c r="D187" s="135">
        <v>10783</v>
      </c>
      <c r="E187" s="135">
        <f t="shared" si="2"/>
        <v>139563</v>
      </c>
    </row>
    <row r="188" spans="1:5">
      <c r="A188" s="174" t="s">
        <v>350</v>
      </c>
      <c r="B188" s="116" t="s">
        <v>756</v>
      </c>
      <c r="C188" s="135">
        <v>118245</v>
      </c>
      <c r="D188" s="135">
        <v>9901</v>
      </c>
      <c r="E188" s="135">
        <f t="shared" si="2"/>
        <v>128146</v>
      </c>
    </row>
    <row r="189" spans="1:5">
      <c r="A189" s="175" t="s">
        <v>1518</v>
      </c>
      <c r="B189" s="116" t="s">
        <v>1573</v>
      </c>
      <c r="C189" s="135">
        <v>3051</v>
      </c>
      <c r="D189" s="135">
        <v>0</v>
      </c>
      <c r="E189" s="135">
        <f t="shared" si="2"/>
        <v>3051</v>
      </c>
    </row>
    <row r="190" spans="1:5">
      <c r="A190" s="174" t="s">
        <v>352</v>
      </c>
      <c r="B190" s="116" t="s">
        <v>757</v>
      </c>
      <c r="C190" s="135">
        <v>1053784</v>
      </c>
      <c r="D190" s="135">
        <v>88235</v>
      </c>
      <c r="E190" s="135">
        <f t="shared" si="2"/>
        <v>1142019</v>
      </c>
    </row>
    <row r="191" spans="1:5">
      <c r="A191" s="174" t="s">
        <v>354</v>
      </c>
      <c r="B191" s="116" t="s">
        <v>758</v>
      </c>
      <c r="C191" s="135">
        <v>1539</v>
      </c>
      <c r="D191" s="135">
        <v>129</v>
      </c>
      <c r="E191" s="135">
        <f t="shared" si="2"/>
        <v>1668</v>
      </c>
    </row>
    <row r="192" spans="1:5">
      <c r="A192" s="174" t="s">
        <v>67</v>
      </c>
      <c r="B192" s="116" t="s">
        <v>759</v>
      </c>
      <c r="C192" s="135">
        <v>28357</v>
      </c>
      <c r="D192" s="135">
        <v>2374</v>
      </c>
      <c r="E192" s="135">
        <f t="shared" si="2"/>
        <v>30731</v>
      </c>
    </row>
    <row r="193" spans="1:5">
      <c r="A193" s="174" t="s">
        <v>243</v>
      </c>
      <c r="B193" s="116" t="s">
        <v>760</v>
      </c>
      <c r="C193" s="135">
        <v>158037</v>
      </c>
      <c r="D193" s="135">
        <v>13233</v>
      </c>
      <c r="E193" s="135">
        <f t="shared" si="2"/>
        <v>171270</v>
      </c>
    </row>
    <row r="194" spans="1:5">
      <c r="A194" s="174" t="s">
        <v>362</v>
      </c>
      <c r="B194" s="116" t="s">
        <v>761</v>
      </c>
      <c r="C194" s="135">
        <v>158275</v>
      </c>
      <c r="D194" s="135">
        <v>13252</v>
      </c>
      <c r="E194" s="135">
        <f t="shared" si="2"/>
        <v>171527</v>
      </c>
    </row>
    <row r="195" spans="1:5">
      <c r="A195" s="174" t="s">
        <v>364</v>
      </c>
      <c r="B195" s="116" t="s">
        <v>762</v>
      </c>
      <c r="C195" s="135">
        <v>40500</v>
      </c>
      <c r="D195" s="135">
        <v>3391</v>
      </c>
      <c r="E195" s="135">
        <f t="shared" ref="E195:E258" si="3">C195+D195</f>
        <v>43891</v>
      </c>
    </row>
    <row r="196" spans="1:5">
      <c r="A196" s="174" t="s">
        <v>935</v>
      </c>
      <c r="B196" s="116" t="s">
        <v>917</v>
      </c>
      <c r="C196" s="135">
        <v>17544</v>
      </c>
      <c r="D196" s="135">
        <v>1469</v>
      </c>
      <c r="E196" s="135">
        <f t="shared" si="3"/>
        <v>19013</v>
      </c>
    </row>
    <row r="197" spans="1:5">
      <c r="A197" s="174" t="s">
        <v>961</v>
      </c>
      <c r="B197" s="116" t="s">
        <v>1574</v>
      </c>
      <c r="C197" s="135">
        <v>8111</v>
      </c>
      <c r="D197" s="135">
        <v>679</v>
      </c>
      <c r="E197" s="135">
        <f t="shared" si="3"/>
        <v>8790</v>
      </c>
    </row>
    <row r="198" spans="1:5">
      <c r="A198" s="174" t="s">
        <v>368</v>
      </c>
      <c r="B198" s="116" t="s">
        <v>764</v>
      </c>
      <c r="C198" s="135">
        <v>35869</v>
      </c>
      <c r="D198" s="135">
        <v>3003</v>
      </c>
      <c r="E198" s="135">
        <f t="shared" si="3"/>
        <v>38872</v>
      </c>
    </row>
    <row r="199" spans="1:5">
      <c r="A199" s="174" t="s">
        <v>370</v>
      </c>
      <c r="B199" s="116" t="s">
        <v>765</v>
      </c>
      <c r="C199" s="135">
        <v>770015</v>
      </c>
      <c r="D199" s="135">
        <v>64474</v>
      </c>
      <c r="E199" s="135">
        <f t="shared" si="3"/>
        <v>834489</v>
      </c>
    </row>
    <row r="200" spans="1:5">
      <c r="A200" s="174" t="s">
        <v>372</v>
      </c>
      <c r="B200" s="116" t="s">
        <v>766</v>
      </c>
      <c r="C200" s="135">
        <v>19703</v>
      </c>
      <c r="D200" s="135">
        <v>1650</v>
      </c>
      <c r="E200" s="135">
        <f t="shared" si="3"/>
        <v>21353</v>
      </c>
    </row>
    <row r="201" spans="1:5">
      <c r="A201" s="174" t="s">
        <v>374</v>
      </c>
      <c r="B201" s="116" t="s">
        <v>767</v>
      </c>
      <c r="C201" s="135">
        <v>652359</v>
      </c>
      <c r="D201" s="135">
        <v>54623</v>
      </c>
      <c r="E201" s="135">
        <f t="shared" si="3"/>
        <v>706982</v>
      </c>
    </row>
    <row r="202" spans="1:5">
      <c r="A202" s="174" t="s">
        <v>376</v>
      </c>
      <c r="B202" s="116" t="s">
        <v>918</v>
      </c>
      <c r="C202" s="135">
        <v>143772</v>
      </c>
      <c r="D202" s="135">
        <v>12038</v>
      </c>
      <c r="E202" s="135">
        <f t="shared" si="3"/>
        <v>155810</v>
      </c>
    </row>
    <row r="203" spans="1:5">
      <c r="A203" s="174" t="s">
        <v>378</v>
      </c>
      <c r="B203" s="116" t="s">
        <v>768</v>
      </c>
      <c r="C203" s="135">
        <v>16187</v>
      </c>
      <c r="D203" s="135">
        <v>1355</v>
      </c>
      <c r="E203" s="135">
        <f t="shared" si="3"/>
        <v>17542</v>
      </c>
    </row>
    <row r="204" spans="1:5">
      <c r="A204" s="174" t="s">
        <v>380</v>
      </c>
      <c r="B204" s="116" t="s">
        <v>769</v>
      </c>
      <c r="C204" s="135">
        <v>68364</v>
      </c>
      <c r="D204" s="135">
        <v>5724</v>
      </c>
      <c r="E204" s="135">
        <f t="shared" si="3"/>
        <v>74088</v>
      </c>
    </row>
    <row r="205" spans="1:5">
      <c r="A205" s="174" t="s">
        <v>382</v>
      </c>
      <c r="B205" s="116" t="s">
        <v>770</v>
      </c>
      <c r="C205" s="135">
        <v>128731</v>
      </c>
      <c r="D205" s="135">
        <v>10779</v>
      </c>
      <c r="E205" s="135">
        <f t="shared" si="3"/>
        <v>139510</v>
      </c>
    </row>
    <row r="206" spans="1:5">
      <c r="A206" s="174" t="s">
        <v>270</v>
      </c>
      <c r="B206" s="116" t="s">
        <v>771</v>
      </c>
      <c r="C206" s="135">
        <v>103564</v>
      </c>
      <c r="D206" s="135">
        <v>8671</v>
      </c>
      <c r="E206" s="135">
        <f t="shared" si="3"/>
        <v>112235</v>
      </c>
    </row>
    <row r="207" spans="1:5">
      <c r="A207" s="174" t="s">
        <v>274</v>
      </c>
      <c r="B207" s="116" t="s">
        <v>772</v>
      </c>
      <c r="C207" s="135">
        <v>9000</v>
      </c>
      <c r="D207" s="135">
        <v>754</v>
      </c>
      <c r="E207" s="135">
        <f t="shared" si="3"/>
        <v>9754</v>
      </c>
    </row>
    <row r="208" spans="1:5">
      <c r="A208" s="174" t="s">
        <v>276</v>
      </c>
      <c r="B208" s="116" t="s">
        <v>773</v>
      </c>
      <c r="C208" s="135">
        <v>82833</v>
      </c>
      <c r="D208" s="135">
        <v>6936</v>
      </c>
      <c r="E208" s="135">
        <f t="shared" si="3"/>
        <v>89769</v>
      </c>
    </row>
    <row r="209" spans="1:5">
      <c r="A209" s="174" t="s">
        <v>546</v>
      </c>
      <c r="B209" s="116" t="s">
        <v>853</v>
      </c>
      <c r="C209" s="135">
        <v>39744</v>
      </c>
      <c r="D209" s="135">
        <v>3328</v>
      </c>
      <c r="E209" s="135">
        <f t="shared" si="3"/>
        <v>43072</v>
      </c>
    </row>
    <row r="210" spans="1:5">
      <c r="A210" s="174" t="s">
        <v>547</v>
      </c>
      <c r="B210" s="116" t="s">
        <v>774</v>
      </c>
      <c r="C210" s="135">
        <v>2433</v>
      </c>
      <c r="D210" s="135">
        <v>204</v>
      </c>
      <c r="E210" s="135">
        <f t="shared" si="3"/>
        <v>2637</v>
      </c>
    </row>
    <row r="211" spans="1:5">
      <c r="A211" s="174" t="s">
        <v>549</v>
      </c>
      <c r="B211" s="116" t="s">
        <v>775</v>
      </c>
      <c r="C211" s="135">
        <v>2934160</v>
      </c>
      <c r="D211" s="135">
        <v>245684</v>
      </c>
      <c r="E211" s="135">
        <f t="shared" si="3"/>
        <v>3179844</v>
      </c>
    </row>
    <row r="212" spans="1:5">
      <c r="A212" s="174" t="s">
        <v>551</v>
      </c>
      <c r="B212" s="116" t="s">
        <v>857</v>
      </c>
      <c r="C212" s="135">
        <v>205652</v>
      </c>
      <c r="D212" s="135">
        <v>17219</v>
      </c>
      <c r="E212" s="135">
        <f t="shared" si="3"/>
        <v>222871</v>
      </c>
    </row>
    <row r="213" spans="1:5">
      <c r="A213" s="174" t="s">
        <v>553</v>
      </c>
      <c r="B213" s="116" t="s">
        <v>776</v>
      </c>
      <c r="C213" s="135">
        <v>175636</v>
      </c>
      <c r="D213" s="135">
        <v>14706</v>
      </c>
      <c r="E213" s="135">
        <f t="shared" si="3"/>
        <v>190342</v>
      </c>
    </row>
    <row r="214" spans="1:5">
      <c r="A214" s="174" t="s">
        <v>555</v>
      </c>
      <c r="B214" s="116" t="s">
        <v>777</v>
      </c>
      <c r="C214" s="135">
        <v>11172</v>
      </c>
      <c r="D214" s="135">
        <v>935</v>
      </c>
      <c r="E214" s="135">
        <f t="shared" si="3"/>
        <v>12107</v>
      </c>
    </row>
    <row r="215" spans="1:5">
      <c r="A215" s="174" t="s">
        <v>557</v>
      </c>
      <c r="B215" s="116" t="s">
        <v>778</v>
      </c>
      <c r="C215" s="135">
        <v>121590</v>
      </c>
      <c r="D215" s="135">
        <v>10181</v>
      </c>
      <c r="E215" s="135">
        <f t="shared" si="3"/>
        <v>131771</v>
      </c>
    </row>
    <row r="216" spans="1:5">
      <c r="A216" s="174" t="s">
        <v>559</v>
      </c>
      <c r="B216" s="116" t="s">
        <v>779</v>
      </c>
      <c r="C216" s="135">
        <v>309</v>
      </c>
      <c r="D216" s="135">
        <v>26</v>
      </c>
      <c r="E216" s="135">
        <f t="shared" si="3"/>
        <v>335</v>
      </c>
    </row>
    <row r="217" spans="1:5">
      <c r="A217" s="174" t="s">
        <v>561</v>
      </c>
      <c r="B217" s="116" t="s">
        <v>780</v>
      </c>
      <c r="C217" s="135">
        <v>223961</v>
      </c>
      <c r="D217" s="135">
        <v>18752</v>
      </c>
      <c r="E217" s="135">
        <f t="shared" si="3"/>
        <v>242713</v>
      </c>
    </row>
    <row r="218" spans="1:5">
      <c r="A218" s="174" t="s">
        <v>563</v>
      </c>
      <c r="B218" s="116" t="s">
        <v>781</v>
      </c>
      <c r="C218" s="135">
        <v>477763</v>
      </c>
      <c r="D218" s="135">
        <v>40004</v>
      </c>
      <c r="E218" s="135">
        <f t="shared" si="3"/>
        <v>517767</v>
      </c>
    </row>
    <row r="219" spans="1:5">
      <c r="A219" s="174" t="s">
        <v>77</v>
      </c>
      <c r="B219" s="116" t="s">
        <v>782</v>
      </c>
      <c r="C219" s="135">
        <v>2624</v>
      </c>
      <c r="D219" s="135">
        <v>220</v>
      </c>
      <c r="E219" s="135">
        <f t="shared" si="3"/>
        <v>2844</v>
      </c>
    </row>
    <row r="220" spans="1:5">
      <c r="A220" s="174" t="s">
        <v>79</v>
      </c>
      <c r="B220" s="116" t="s">
        <v>783</v>
      </c>
      <c r="C220" s="135">
        <v>397404</v>
      </c>
      <c r="D220" s="135">
        <v>33276</v>
      </c>
      <c r="E220" s="135">
        <f t="shared" si="3"/>
        <v>430680</v>
      </c>
    </row>
    <row r="221" spans="1:5">
      <c r="A221" s="174" t="s">
        <v>81</v>
      </c>
      <c r="B221" s="116" t="s">
        <v>784</v>
      </c>
      <c r="C221" s="135">
        <v>287930</v>
      </c>
      <c r="D221" s="135">
        <v>24110</v>
      </c>
      <c r="E221" s="135">
        <f t="shared" si="3"/>
        <v>312040</v>
      </c>
    </row>
    <row r="222" spans="1:5">
      <c r="A222" s="174" t="s">
        <v>83</v>
      </c>
      <c r="B222" s="116" t="s">
        <v>785</v>
      </c>
      <c r="C222" s="135">
        <v>29522</v>
      </c>
      <c r="D222" s="135">
        <v>2472</v>
      </c>
      <c r="E222" s="135">
        <f t="shared" si="3"/>
        <v>31994</v>
      </c>
    </row>
    <row r="223" spans="1:5">
      <c r="A223" s="174" t="s">
        <v>85</v>
      </c>
      <c r="B223" s="116" t="s">
        <v>786</v>
      </c>
      <c r="C223" s="135">
        <v>32577</v>
      </c>
      <c r="D223" s="135">
        <v>2728</v>
      </c>
      <c r="E223" s="135">
        <f t="shared" si="3"/>
        <v>35305</v>
      </c>
    </row>
    <row r="224" spans="1:5">
      <c r="A224" s="174" t="s">
        <v>567</v>
      </c>
      <c r="B224" s="116" t="s">
        <v>787</v>
      </c>
      <c r="C224" s="135">
        <v>457460</v>
      </c>
      <c r="D224" s="135">
        <v>38304</v>
      </c>
      <c r="E224" s="135">
        <f t="shared" si="3"/>
        <v>495764</v>
      </c>
    </row>
    <row r="225" spans="1:5">
      <c r="A225" s="174" t="s">
        <v>569</v>
      </c>
      <c r="B225" s="116" t="s">
        <v>788</v>
      </c>
      <c r="C225" s="135">
        <v>58355</v>
      </c>
      <c r="D225" s="135">
        <v>4886</v>
      </c>
      <c r="E225" s="135">
        <f t="shared" si="3"/>
        <v>63241</v>
      </c>
    </row>
    <row r="226" spans="1:5">
      <c r="A226" s="174" t="s">
        <v>571</v>
      </c>
      <c r="B226" s="116" t="s">
        <v>789</v>
      </c>
      <c r="C226" s="135">
        <v>9228</v>
      </c>
      <c r="D226" s="135">
        <v>773</v>
      </c>
      <c r="E226" s="135">
        <f t="shared" si="3"/>
        <v>10001</v>
      </c>
    </row>
    <row r="227" spans="1:5">
      <c r="A227" s="174" t="s">
        <v>573</v>
      </c>
      <c r="B227" s="116" t="s">
        <v>790</v>
      </c>
      <c r="C227" s="135">
        <v>1519910</v>
      </c>
      <c r="D227" s="135">
        <v>127262</v>
      </c>
      <c r="E227" s="135">
        <f t="shared" si="3"/>
        <v>1647172</v>
      </c>
    </row>
    <row r="228" spans="1:5">
      <c r="A228" s="174" t="s">
        <v>937</v>
      </c>
      <c r="B228" s="116" t="s">
        <v>921</v>
      </c>
      <c r="C228" s="135">
        <v>27999</v>
      </c>
      <c r="D228" s="135">
        <v>2344</v>
      </c>
      <c r="E228" s="135">
        <f t="shared" si="3"/>
        <v>30343</v>
      </c>
    </row>
    <row r="229" spans="1:5">
      <c r="A229" s="174" t="s">
        <v>541</v>
      </c>
      <c r="B229" s="116" t="s">
        <v>791</v>
      </c>
      <c r="C229" s="135">
        <v>3671</v>
      </c>
      <c r="D229" s="135">
        <v>307</v>
      </c>
      <c r="E229" s="135">
        <f t="shared" si="3"/>
        <v>3978</v>
      </c>
    </row>
    <row r="230" spans="1:5">
      <c r="A230" s="174" t="s">
        <v>543</v>
      </c>
      <c r="B230" s="116" t="s">
        <v>854</v>
      </c>
      <c r="C230" s="135">
        <v>6639</v>
      </c>
      <c r="D230" s="135">
        <v>556</v>
      </c>
      <c r="E230" s="135">
        <f t="shared" si="3"/>
        <v>7195</v>
      </c>
    </row>
    <row r="231" spans="1:5">
      <c r="A231" s="174" t="s">
        <v>57</v>
      </c>
      <c r="B231" s="116" t="s">
        <v>792</v>
      </c>
      <c r="C231" s="135">
        <v>202301</v>
      </c>
      <c r="D231" s="135">
        <v>16939</v>
      </c>
      <c r="E231" s="135">
        <f t="shared" si="3"/>
        <v>219240</v>
      </c>
    </row>
    <row r="232" spans="1:5">
      <c r="A232" s="174" t="s">
        <v>59</v>
      </c>
      <c r="B232" s="116" t="s">
        <v>793</v>
      </c>
      <c r="C232" s="135">
        <v>579</v>
      </c>
      <c r="D232" s="135">
        <v>49</v>
      </c>
      <c r="E232" s="135">
        <f t="shared" si="3"/>
        <v>628</v>
      </c>
    </row>
    <row r="233" spans="1:5">
      <c r="A233" s="174" t="s">
        <v>61</v>
      </c>
      <c r="B233" s="116" t="s">
        <v>794</v>
      </c>
      <c r="C233" s="135">
        <v>854</v>
      </c>
      <c r="D233" s="135">
        <v>72</v>
      </c>
      <c r="E233" s="135">
        <f t="shared" si="3"/>
        <v>926</v>
      </c>
    </row>
    <row r="234" spans="1:5">
      <c r="A234" s="174" t="s">
        <v>63</v>
      </c>
      <c r="B234" s="116" t="s">
        <v>795</v>
      </c>
      <c r="C234" s="135">
        <v>77</v>
      </c>
      <c r="D234" s="135">
        <v>6</v>
      </c>
      <c r="E234" s="135">
        <f t="shared" si="3"/>
        <v>83</v>
      </c>
    </row>
    <row r="235" spans="1:5">
      <c r="A235" s="174" t="s">
        <v>65</v>
      </c>
      <c r="B235" s="116" t="s">
        <v>855</v>
      </c>
      <c r="C235" s="135">
        <v>135807</v>
      </c>
      <c r="D235" s="135">
        <v>11371</v>
      </c>
      <c r="E235" s="135">
        <f t="shared" si="3"/>
        <v>147178</v>
      </c>
    </row>
    <row r="236" spans="1:5">
      <c r="A236" s="174" t="s">
        <v>66</v>
      </c>
      <c r="B236" s="116" t="s">
        <v>796</v>
      </c>
      <c r="C236" s="135">
        <v>2626</v>
      </c>
      <c r="D236" s="135">
        <v>220</v>
      </c>
      <c r="E236" s="135">
        <f t="shared" si="3"/>
        <v>2846</v>
      </c>
    </row>
    <row r="237" spans="1:5">
      <c r="A237" s="174" t="s">
        <v>7</v>
      </c>
      <c r="B237" s="116" t="s">
        <v>797</v>
      </c>
      <c r="C237" s="135">
        <v>87533</v>
      </c>
      <c r="D237" s="135">
        <v>7329</v>
      </c>
      <c r="E237" s="135">
        <f t="shared" si="3"/>
        <v>94862</v>
      </c>
    </row>
    <row r="238" spans="1:5">
      <c r="A238" s="174" t="s">
        <v>954</v>
      </c>
      <c r="B238" s="116" t="s">
        <v>960</v>
      </c>
      <c r="C238" s="135">
        <v>23201</v>
      </c>
      <c r="D238" s="135">
        <v>1943</v>
      </c>
      <c r="E238" s="135">
        <f t="shared" si="3"/>
        <v>25144</v>
      </c>
    </row>
    <row r="239" spans="1:5">
      <c r="A239" s="174" t="s">
        <v>934</v>
      </c>
      <c r="B239" s="116" t="s">
        <v>923</v>
      </c>
      <c r="C239" s="135">
        <v>9657</v>
      </c>
      <c r="D239" s="135">
        <v>809</v>
      </c>
      <c r="E239" s="135">
        <f t="shared" si="3"/>
        <v>10466</v>
      </c>
    </row>
    <row r="240" spans="1:5">
      <c r="A240" s="174" t="s">
        <v>933</v>
      </c>
      <c r="B240" s="116" t="s">
        <v>924</v>
      </c>
      <c r="C240" s="135">
        <v>16795</v>
      </c>
      <c r="D240" s="135">
        <v>1406</v>
      </c>
      <c r="E240" s="135">
        <f t="shared" si="3"/>
        <v>18201</v>
      </c>
    </row>
    <row r="241" spans="1:5">
      <c r="A241" s="174" t="s">
        <v>9</v>
      </c>
      <c r="B241" s="116" t="s">
        <v>798</v>
      </c>
      <c r="C241" s="135">
        <v>2970</v>
      </c>
      <c r="D241" s="135">
        <v>249</v>
      </c>
      <c r="E241" s="135">
        <f t="shared" si="3"/>
        <v>3219</v>
      </c>
    </row>
    <row r="242" spans="1:5">
      <c r="A242" s="174" t="s">
        <v>246</v>
      </c>
      <c r="B242" s="116" t="s">
        <v>799</v>
      </c>
      <c r="C242" s="135">
        <v>437922</v>
      </c>
      <c r="D242" s="135">
        <v>36668</v>
      </c>
      <c r="E242" s="135">
        <f t="shared" si="3"/>
        <v>474590</v>
      </c>
    </row>
    <row r="243" spans="1:5">
      <c r="A243" s="174" t="s">
        <v>248</v>
      </c>
      <c r="B243" s="116" t="s">
        <v>800</v>
      </c>
      <c r="C243" s="135">
        <v>349355</v>
      </c>
      <c r="D243" s="135">
        <v>29251</v>
      </c>
      <c r="E243" s="135">
        <f t="shared" si="3"/>
        <v>378606</v>
      </c>
    </row>
    <row r="244" spans="1:5">
      <c r="A244" s="174" t="s">
        <v>881</v>
      </c>
      <c r="B244" s="116" t="s">
        <v>896</v>
      </c>
      <c r="C244" s="135">
        <v>4145</v>
      </c>
      <c r="D244" s="135">
        <v>347</v>
      </c>
      <c r="E244" s="135">
        <f t="shared" si="3"/>
        <v>4492</v>
      </c>
    </row>
    <row r="245" spans="1:5">
      <c r="A245" s="174" t="s">
        <v>250</v>
      </c>
      <c r="B245" s="116" t="s">
        <v>801</v>
      </c>
      <c r="C245" s="135">
        <v>1555781</v>
      </c>
      <c r="D245" s="135">
        <v>130266</v>
      </c>
      <c r="E245" s="135">
        <f t="shared" si="3"/>
        <v>1686047</v>
      </c>
    </row>
    <row r="246" spans="1:5">
      <c r="A246" s="174" t="s">
        <v>252</v>
      </c>
      <c r="B246" s="116" t="s">
        <v>802</v>
      </c>
      <c r="C246" s="135">
        <v>8326</v>
      </c>
      <c r="D246" s="135">
        <v>697</v>
      </c>
      <c r="E246" s="135">
        <f t="shared" si="3"/>
        <v>9023</v>
      </c>
    </row>
    <row r="247" spans="1:5">
      <c r="A247" s="174" t="s">
        <v>254</v>
      </c>
      <c r="B247" s="116" t="s">
        <v>803</v>
      </c>
      <c r="C247" s="135">
        <v>364277</v>
      </c>
      <c r="D247" s="135">
        <v>30502</v>
      </c>
      <c r="E247" s="135">
        <f t="shared" si="3"/>
        <v>394779</v>
      </c>
    </row>
    <row r="248" spans="1:5">
      <c r="A248" s="174" t="s">
        <v>256</v>
      </c>
      <c r="B248" s="116" t="s">
        <v>804</v>
      </c>
      <c r="C248" s="135">
        <v>9271</v>
      </c>
      <c r="D248" s="135">
        <v>776</v>
      </c>
      <c r="E248" s="135">
        <f t="shared" si="3"/>
        <v>10047</v>
      </c>
    </row>
    <row r="249" spans="1:5">
      <c r="A249" s="174" t="s">
        <v>258</v>
      </c>
      <c r="B249" s="116" t="s">
        <v>805</v>
      </c>
      <c r="C249" s="135">
        <v>59606</v>
      </c>
      <c r="D249" s="135">
        <v>4991</v>
      </c>
      <c r="E249" s="135">
        <f t="shared" si="3"/>
        <v>64597</v>
      </c>
    </row>
    <row r="250" spans="1:5">
      <c r="A250" s="174" t="s">
        <v>260</v>
      </c>
      <c r="B250" s="116" t="s">
        <v>806</v>
      </c>
      <c r="C250" s="135">
        <v>10312</v>
      </c>
      <c r="D250" s="135">
        <v>863</v>
      </c>
      <c r="E250" s="135">
        <f t="shared" si="3"/>
        <v>11175</v>
      </c>
    </row>
    <row r="251" spans="1:5">
      <c r="A251" s="174" t="s">
        <v>262</v>
      </c>
      <c r="B251" s="116" t="s">
        <v>807</v>
      </c>
      <c r="C251" s="135">
        <v>37454</v>
      </c>
      <c r="D251" s="135">
        <v>3136</v>
      </c>
      <c r="E251" s="135">
        <f t="shared" si="3"/>
        <v>40590</v>
      </c>
    </row>
    <row r="252" spans="1:5">
      <c r="A252" s="174" t="s">
        <v>264</v>
      </c>
      <c r="B252" s="116" t="s">
        <v>808</v>
      </c>
      <c r="C252" s="135">
        <v>57817</v>
      </c>
      <c r="D252" s="135">
        <v>4841</v>
      </c>
      <c r="E252" s="135">
        <f t="shared" si="3"/>
        <v>62658</v>
      </c>
    </row>
    <row r="253" spans="1:5">
      <c r="A253" s="174" t="s">
        <v>266</v>
      </c>
      <c r="B253" s="116" t="s">
        <v>809</v>
      </c>
      <c r="C253" s="135">
        <v>236459</v>
      </c>
      <c r="D253" s="135">
        <v>19798</v>
      </c>
      <c r="E253" s="135">
        <f t="shared" si="3"/>
        <v>256257</v>
      </c>
    </row>
    <row r="254" spans="1:5">
      <c r="A254" s="174" t="s">
        <v>268</v>
      </c>
      <c r="B254" s="116" t="s">
        <v>810</v>
      </c>
      <c r="C254" s="135">
        <v>10126</v>
      </c>
      <c r="D254" s="135">
        <v>847</v>
      </c>
      <c r="E254" s="135">
        <f t="shared" si="3"/>
        <v>10973</v>
      </c>
    </row>
    <row r="255" spans="1:5">
      <c r="A255" s="174" t="s">
        <v>566</v>
      </c>
      <c r="B255" s="116" t="s">
        <v>811</v>
      </c>
      <c r="C255" s="135">
        <v>148423</v>
      </c>
      <c r="D255" s="135">
        <v>12427</v>
      </c>
      <c r="E255" s="135">
        <f t="shared" si="3"/>
        <v>160850</v>
      </c>
    </row>
    <row r="256" spans="1:5">
      <c r="A256" s="174" t="s">
        <v>189</v>
      </c>
      <c r="B256" s="116" t="s">
        <v>812</v>
      </c>
      <c r="C256" s="135">
        <v>278166</v>
      </c>
      <c r="D256" s="135">
        <v>23291</v>
      </c>
      <c r="E256" s="135">
        <f t="shared" si="3"/>
        <v>301457</v>
      </c>
    </row>
    <row r="257" spans="1:5">
      <c r="A257" s="174" t="s">
        <v>191</v>
      </c>
      <c r="B257" s="116" t="s">
        <v>813</v>
      </c>
      <c r="C257" s="135">
        <v>30593</v>
      </c>
      <c r="D257" s="135">
        <v>2562</v>
      </c>
      <c r="E257" s="135">
        <f t="shared" si="3"/>
        <v>33155</v>
      </c>
    </row>
    <row r="258" spans="1:5">
      <c r="A258" s="174" t="s">
        <v>193</v>
      </c>
      <c r="B258" s="116" t="s">
        <v>814</v>
      </c>
      <c r="C258" s="135">
        <v>280125</v>
      </c>
      <c r="D258" s="135">
        <v>23455</v>
      </c>
      <c r="E258" s="135">
        <f t="shared" si="3"/>
        <v>303580</v>
      </c>
    </row>
    <row r="259" spans="1:5">
      <c r="A259" s="174" t="s">
        <v>278</v>
      </c>
      <c r="B259" s="116" t="s">
        <v>856</v>
      </c>
      <c r="C259" s="135">
        <v>60105</v>
      </c>
      <c r="D259" s="135">
        <v>5033</v>
      </c>
      <c r="E259" s="135">
        <f t="shared" ref="E259:E288" si="4">C259+D259</f>
        <v>65138</v>
      </c>
    </row>
    <row r="260" spans="1:5">
      <c r="A260" s="174" t="s">
        <v>280</v>
      </c>
      <c r="B260" s="116" t="s">
        <v>815</v>
      </c>
      <c r="C260" s="135">
        <v>1080682</v>
      </c>
      <c r="D260" s="135">
        <v>90486</v>
      </c>
      <c r="E260" s="135">
        <f t="shared" si="4"/>
        <v>1171168</v>
      </c>
    </row>
    <row r="261" spans="1:5">
      <c r="A261" s="174" t="s">
        <v>501</v>
      </c>
      <c r="B261" s="116" t="s">
        <v>816</v>
      </c>
      <c r="C261" s="135">
        <v>67418</v>
      </c>
      <c r="D261" s="135">
        <v>5645</v>
      </c>
      <c r="E261" s="135">
        <f t="shared" si="4"/>
        <v>73063</v>
      </c>
    </row>
    <row r="262" spans="1:5">
      <c r="A262" s="174" t="s">
        <v>837</v>
      </c>
      <c r="B262" s="116" t="s">
        <v>1049</v>
      </c>
      <c r="C262" s="135">
        <v>4892</v>
      </c>
      <c r="D262" s="135">
        <v>409</v>
      </c>
      <c r="E262" s="135">
        <f t="shared" si="4"/>
        <v>5301</v>
      </c>
    </row>
    <row r="263" spans="1:5">
      <c r="A263" s="174" t="s">
        <v>587</v>
      </c>
      <c r="B263" s="116" t="s">
        <v>871</v>
      </c>
      <c r="C263" s="135">
        <v>5065</v>
      </c>
      <c r="D263" s="135">
        <v>425</v>
      </c>
      <c r="E263" s="135">
        <f t="shared" si="4"/>
        <v>5490</v>
      </c>
    </row>
    <row r="264" spans="1:5">
      <c r="A264" s="174" t="s">
        <v>505</v>
      </c>
      <c r="B264" s="116" t="s">
        <v>817</v>
      </c>
      <c r="C264" s="135">
        <v>138443</v>
      </c>
      <c r="D264" s="135">
        <v>11591</v>
      </c>
      <c r="E264" s="135">
        <f t="shared" si="4"/>
        <v>150034</v>
      </c>
    </row>
    <row r="265" spans="1:5">
      <c r="A265" s="174" t="s">
        <v>507</v>
      </c>
      <c r="B265" s="116" t="s">
        <v>818</v>
      </c>
      <c r="C265" s="135">
        <v>12329</v>
      </c>
      <c r="D265" s="135">
        <v>1033</v>
      </c>
      <c r="E265" s="135">
        <f t="shared" si="4"/>
        <v>13362</v>
      </c>
    </row>
    <row r="266" spans="1:5">
      <c r="A266" s="174" t="s">
        <v>509</v>
      </c>
      <c r="B266" s="116" t="s">
        <v>819</v>
      </c>
      <c r="C266" s="135">
        <v>272567</v>
      </c>
      <c r="D266" s="135">
        <v>22822</v>
      </c>
      <c r="E266" s="135">
        <f t="shared" si="4"/>
        <v>295389</v>
      </c>
    </row>
    <row r="267" spans="1:5">
      <c r="A267" s="174" t="s">
        <v>511</v>
      </c>
      <c r="B267" s="116" t="s">
        <v>820</v>
      </c>
      <c r="C267" s="135">
        <v>175223</v>
      </c>
      <c r="D267" s="135">
        <v>14672</v>
      </c>
      <c r="E267" s="135">
        <f t="shared" si="4"/>
        <v>189895</v>
      </c>
    </row>
    <row r="268" spans="1:5">
      <c r="A268" s="174" t="s">
        <v>32</v>
      </c>
      <c r="B268" s="116" t="s">
        <v>821</v>
      </c>
      <c r="C268" s="135">
        <v>48343</v>
      </c>
      <c r="D268" s="135">
        <v>4047</v>
      </c>
      <c r="E268" s="135">
        <f t="shared" si="4"/>
        <v>52390</v>
      </c>
    </row>
    <row r="269" spans="1:5">
      <c r="A269" s="174" t="s">
        <v>34</v>
      </c>
      <c r="B269" s="116" t="s">
        <v>822</v>
      </c>
      <c r="C269" s="135">
        <v>135164</v>
      </c>
      <c r="D269" s="135">
        <v>11318</v>
      </c>
      <c r="E269" s="135">
        <f t="shared" si="4"/>
        <v>146482</v>
      </c>
    </row>
    <row r="270" spans="1:5">
      <c r="A270" s="174" t="s">
        <v>36</v>
      </c>
      <c r="B270" s="116" t="s">
        <v>823</v>
      </c>
      <c r="C270" s="135">
        <v>3113</v>
      </c>
      <c r="D270" s="135">
        <v>261</v>
      </c>
      <c r="E270" s="135">
        <f t="shared" si="4"/>
        <v>3374</v>
      </c>
    </row>
    <row r="271" spans="1:5">
      <c r="A271" s="174" t="s">
        <v>522</v>
      </c>
      <c r="B271" s="116" t="s">
        <v>824</v>
      </c>
      <c r="C271" s="135">
        <v>24131</v>
      </c>
      <c r="D271" s="135">
        <v>2020</v>
      </c>
      <c r="E271" s="135">
        <f t="shared" si="4"/>
        <v>26151</v>
      </c>
    </row>
    <row r="272" spans="1:5">
      <c r="A272" s="174" t="s">
        <v>485</v>
      </c>
      <c r="B272" s="116" t="s">
        <v>825</v>
      </c>
      <c r="C272" s="135">
        <v>371701</v>
      </c>
      <c r="D272" s="135">
        <v>31122</v>
      </c>
      <c r="E272" s="135">
        <f t="shared" si="4"/>
        <v>402823</v>
      </c>
    </row>
    <row r="273" spans="1:5">
      <c r="A273" s="174" t="s">
        <v>298</v>
      </c>
      <c r="B273" s="116" t="s">
        <v>865</v>
      </c>
      <c r="C273" s="135">
        <v>169033</v>
      </c>
      <c r="D273" s="135">
        <v>14154</v>
      </c>
      <c r="E273" s="135">
        <f t="shared" si="4"/>
        <v>183187</v>
      </c>
    </row>
    <row r="274" spans="1:5">
      <c r="A274" s="174" t="s">
        <v>299</v>
      </c>
      <c r="B274" s="116" t="s">
        <v>866</v>
      </c>
      <c r="C274" s="135">
        <v>253905</v>
      </c>
      <c r="D274" s="135">
        <v>21260</v>
      </c>
      <c r="E274" s="135">
        <f t="shared" si="4"/>
        <v>275165</v>
      </c>
    </row>
    <row r="275" spans="1:5">
      <c r="A275" s="175" t="s">
        <v>1311</v>
      </c>
      <c r="B275" s="116" t="s">
        <v>1312</v>
      </c>
      <c r="C275" s="135">
        <v>1429</v>
      </c>
      <c r="D275" s="135">
        <v>0</v>
      </c>
      <c r="E275" s="135">
        <f t="shared" si="4"/>
        <v>1429</v>
      </c>
    </row>
    <row r="276" spans="1:5">
      <c r="A276" s="174" t="s">
        <v>300</v>
      </c>
      <c r="B276" s="116" t="s">
        <v>826</v>
      </c>
      <c r="C276" s="135">
        <v>17799</v>
      </c>
      <c r="D276" s="135">
        <v>1490</v>
      </c>
      <c r="E276" s="135">
        <f t="shared" si="4"/>
        <v>19289</v>
      </c>
    </row>
    <row r="277" spans="1:5">
      <c r="A277" s="174" t="s">
        <v>302</v>
      </c>
      <c r="B277" s="116" t="s">
        <v>827</v>
      </c>
      <c r="C277" s="135">
        <v>173597</v>
      </c>
      <c r="D277" s="135">
        <v>14536</v>
      </c>
      <c r="E277" s="135">
        <f t="shared" si="4"/>
        <v>188133</v>
      </c>
    </row>
    <row r="278" spans="1:5">
      <c r="A278" s="175" t="s">
        <v>1161</v>
      </c>
      <c r="B278" s="116" t="s">
        <v>1575</v>
      </c>
      <c r="C278" s="135">
        <v>3553</v>
      </c>
      <c r="D278" s="135">
        <v>0</v>
      </c>
      <c r="E278" s="135">
        <f t="shared" si="4"/>
        <v>3553</v>
      </c>
    </row>
    <row r="279" spans="1:5">
      <c r="A279" s="174" t="s">
        <v>306</v>
      </c>
      <c r="B279" s="116" t="s">
        <v>828</v>
      </c>
      <c r="C279" s="135">
        <v>10168</v>
      </c>
      <c r="D279" s="135">
        <v>851</v>
      </c>
      <c r="E279" s="135">
        <f t="shared" si="4"/>
        <v>11019</v>
      </c>
    </row>
    <row r="280" spans="1:5">
      <c r="A280" s="174" t="s">
        <v>308</v>
      </c>
      <c r="B280" s="116" t="s">
        <v>829</v>
      </c>
      <c r="C280" s="135">
        <v>17520</v>
      </c>
      <c r="D280" s="135">
        <v>1466</v>
      </c>
      <c r="E280" s="135">
        <f t="shared" si="4"/>
        <v>18986</v>
      </c>
    </row>
    <row r="281" spans="1:5">
      <c r="A281" s="175" t="s">
        <v>958</v>
      </c>
      <c r="B281" s="116" t="s">
        <v>1576</v>
      </c>
      <c r="C281" s="135">
        <v>2296</v>
      </c>
      <c r="D281" s="135">
        <v>192</v>
      </c>
      <c r="E281" s="135">
        <f t="shared" si="4"/>
        <v>2488</v>
      </c>
    </row>
    <row r="282" spans="1:5">
      <c r="A282" s="174" t="s">
        <v>310</v>
      </c>
      <c r="B282" s="116" t="s">
        <v>830</v>
      </c>
      <c r="C282" s="135">
        <v>7196</v>
      </c>
      <c r="D282" s="135">
        <v>603</v>
      </c>
      <c r="E282" s="135">
        <f t="shared" si="4"/>
        <v>7799</v>
      </c>
    </row>
    <row r="283" spans="1:5">
      <c r="A283" s="174" t="s">
        <v>312</v>
      </c>
      <c r="B283" s="116" t="s">
        <v>831</v>
      </c>
      <c r="C283" s="135">
        <v>36572</v>
      </c>
      <c r="D283" s="135">
        <v>3062</v>
      </c>
      <c r="E283" s="135">
        <f t="shared" si="4"/>
        <v>39634</v>
      </c>
    </row>
    <row r="284" spans="1:5">
      <c r="A284" s="174" t="s">
        <v>173</v>
      </c>
      <c r="B284" s="116" t="s">
        <v>832</v>
      </c>
      <c r="C284" s="135">
        <v>7223</v>
      </c>
      <c r="D284" s="135">
        <v>605</v>
      </c>
      <c r="E284" s="135">
        <f t="shared" si="4"/>
        <v>7828</v>
      </c>
    </row>
    <row r="285" spans="1:5">
      <c r="A285" s="174" t="s">
        <v>177</v>
      </c>
      <c r="B285" s="116" t="s">
        <v>833</v>
      </c>
      <c r="C285" s="135">
        <v>110353</v>
      </c>
      <c r="D285" s="135">
        <v>9239</v>
      </c>
      <c r="E285" s="135">
        <f t="shared" si="4"/>
        <v>119592</v>
      </c>
    </row>
    <row r="286" spans="1:5">
      <c r="A286" s="174" t="s">
        <v>179</v>
      </c>
      <c r="B286" s="116" t="s">
        <v>834</v>
      </c>
      <c r="C286" s="135">
        <v>854460</v>
      </c>
      <c r="D286" s="135">
        <v>71543</v>
      </c>
      <c r="E286" s="135">
        <f t="shared" si="4"/>
        <v>926003</v>
      </c>
    </row>
    <row r="287" spans="1:5">
      <c r="A287" s="174" t="s">
        <v>181</v>
      </c>
      <c r="B287" s="116" t="s">
        <v>835</v>
      </c>
      <c r="C287" s="135">
        <v>256479</v>
      </c>
      <c r="D287" s="135">
        <v>21475</v>
      </c>
      <c r="E287" s="135">
        <f t="shared" si="4"/>
        <v>277954</v>
      </c>
    </row>
    <row r="288" spans="1:5">
      <c r="A288" s="174" t="s">
        <v>407</v>
      </c>
      <c r="B288" s="116" t="s">
        <v>836</v>
      </c>
      <c r="C288" s="137">
        <v>62327</v>
      </c>
      <c r="D288" s="137">
        <v>5218</v>
      </c>
      <c r="E288" s="135">
        <f t="shared" si="4"/>
        <v>67545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E189-A829-4358-A7BC-4F5D9FF177F1}">
  <sheetPr>
    <tabColor rgb="FF92D050"/>
  </sheetPr>
  <dimension ref="A1:E13"/>
  <sheetViews>
    <sheetView workbookViewId="0">
      <selection activeCell="I19" activeCellId="1" sqref="C2:C133 I19"/>
    </sheetView>
  </sheetViews>
  <sheetFormatPr defaultRowHeight="16.5"/>
  <cols>
    <col min="1" max="1" width="9.140625" style="116"/>
    <col min="2" max="2" width="17.42578125" style="116" bestFit="1" customWidth="1"/>
    <col min="3" max="4" width="18.85546875" style="116" customWidth="1"/>
    <col min="5" max="5" width="11" style="116" bestFit="1" customWidth="1"/>
    <col min="6" max="16384" width="9.140625" style="116"/>
  </cols>
  <sheetData>
    <row r="1" spans="1:5" ht="33">
      <c r="A1" s="116" t="s">
        <v>867</v>
      </c>
      <c r="B1" s="116" t="s">
        <v>1358</v>
      </c>
      <c r="C1" s="170" t="s">
        <v>1586</v>
      </c>
      <c r="D1" s="170" t="s">
        <v>1585</v>
      </c>
      <c r="E1" s="116" t="s">
        <v>586</v>
      </c>
    </row>
    <row r="2" spans="1:5">
      <c r="A2" s="169" t="s">
        <v>182</v>
      </c>
      <c r="B2" s="116" t="s">
        <v>591</v>
      </c>
      <c r="C2" s="135">
        <v>18271</v>
      </c>
      <c r="D2" s="135">
        <v>79267</v>
      </c>
      <c r="E2" s="135">
        <f>C2+D2</f>
        <v>97538</v>
      </c>
    </row>
    <row r="3" spans="1:5">
      <c r="A3" s="116" t="s">
        <v>195</v>
      </c>
      <c r="B3" s="116" t="s">
        <v>597</v>
      </c>
      <c r="C3" s="135">
        <v>166964</v>
      </c>
      <c r="D3" s="135">
        <v>568384</v>
      </c>
      <c r="E3" s="135">
        <f t="shared" ref="E3:E13" si="0">C3+D3</f>
        <v>735348</v>
      </c>
    </row>
    <row r="4" spans="1:5">
      <c r="A4" s="116" t="s">
        <v>420</v>
      </c>
      <c r="B4" s="116" t="s">
        <v>654</v>
      </c>
      <c r="C4" s="135">
        <v>33706</v>
      </c>
      <c r="D4" s="135">
        <v>143474</v>
      </c>
      <c r="E4" s="135">
        <f t="shared" si="0"/>
        <v>177180</v>
      </c>
    </row>
    <row r="5" spans="1:5">
      <c r="A5" s="116" t="s">
        <v>344</v>
      </c>
      <c r="B5" s="116" t="s">
        <v>675</v>
      </c>
      <c r="C5" s="135">
        <v>137043</v>
      </c>
      <c r="D5" s="135">
        <v>504921</v>
      </c>
      <c r="E5" s="135">
        <f t="shared" si="0"/>
        <v>641964</v>
      </c>
    </row>
    <row r="6" spans="1:5">
      <c r="A6" s="116" t="s">
        <v>128</v>
      </c>
      <c r="B6" s="116" t="s">
        <v>687</v>
      </c>
      <c r="C6" s="135">
        <v>223403</v>
      </c>
      <c r="D6" s="135">
        <v>785804</v>
      </c>
      <c r="E6" s="135">
        <f t="shared" si="0"/>
        <v>1009207</v>
      </c>
    </row>
    <row r="7" spans="1:5">
      <c r="A7" s="116" t="s">
        <v>470</v>
      </c>
      <c r="B7" s="116" t="s">
        <v>988</v>
      </c>
      <c r="C7" s="135">
        <v>1817</v>
      </c>
      <c r="D7" s="135">
        <v>8947</v>
      </c>
      <c r="E7" s="135">
        <f t="shared" si="0"/>
        <v>10764</v>
      </c>
    </row>
    <row r="8" spans="1:5">
      <c r="A8" s="116" t="s">
        <v>499</v>
      </c>
      <c r="B8" s="116" t="s">
        <v>699</v>
      </c>
      <c r="C8" s="135">
        <v>82469</v>
      </c>
      <c r="D8" s="135">
        <v>334007</v>
      </c>
      <c r="E8" s="135">
        <f t="shared" si="0"/>
        <v>416476</v>
      </c>
    </row>
    <row r="9" spans="1:5">
      <c r="A9" s="116" t="s">
        <v>216</v>
      </c>
      <c r="B9" s="116" t="s">
        <v>720</v>
      </c>
      <c r="C9" s="135">
        <v>17235</v>
      </c>
      <c r="D9" s="135">
        <v>64232</v>
      </c>
      <c r="E9" s="135">
        <f t="shared" si="0"/>
        <v>81467</v>
      </c>
    </row>
    <row r="10" spans="1:5">
      <c r="A10" s="116" t="s">
        <v>382</v>
      </c>
      <c r="B10" s="116" t="s">
        <v>770</v>
      </c>
      <c r="C10" s="135">
        <v>20927</v>
      </c>
      <c r="D10" s="135">
        <v>82944</v>
      </c>
      <c r="E10" s="135">
        <f t="shared" si="0"/>
        <v>103871</v>
      </c>
    </row>
    <row r="11" spans="1:5">
      <c r="A11" s="116" t="s">
        <v>549</v>
      </c>
      <c r="B11" s="116" t="s">
        <v>775</v>
      </c>
      <c r="C11" s="135">
        <v>476977</v>
      </c>
      <c r="D11" s="135">
        <v>1711203</v>
      </c>
      <c r="E11" s="135">
        <f t="shared" si="0"/>
        <v>2188180</v>
      </c>
    </row>
    <row r="12" spans="1:5">
      <c r="A12" s="116" t="s">
        <v>551</v>
      </c>
      <c r="B12" s="116" t="s">
        <v>857</v>
      </c>
      <c r="C12" s="135">
        <v>33431</v>
      </c>
      <c r="D12" s="135">
        <v>140432</v>
      </c>
      <c r="E12" s="135">
        <f t="shared" si="0"/>
        <v>173863</v>
      </c>
    </row>
    <row r="13" spans="1:5">
      <c r="A13" s="116" t="s">
        <v>181</v>
      </c>
      <c r="B13" s="116" t="s">
        <v>835</v>
      </c>
      <c r="C13" s="135">
        <v>41693</v>
      </c>
      <c r="D13" s="135">
        <v>157121</v>
      </c>
      <c r="E13" s="135">
        <f t="shared" si="0"/>
        <v>198814</v>
      </c>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542A-9474-4430-9AE2-92FECC5A8989}">
  <sheetPr>
    <tabColor rgb="FF92D050"/>
  </sheetPr>
  <dimension ref="A1:E12"/>
  <sheetViews>
    <sheetView workbookViewId="0">
      <selection activeCell="I19" activeCellId="1" sqref="C2:C133 I19"/>
    </sheetView>
  </sheetViews>
  <sheetFormatPr defaultRowHeight="16.5"/>
  <cols>
    <col min="1" max="1" width="9.140625" style="116"/>
    <col min="2" max="2" width="4.85546875" style="116" bestFit="1" customWidth="1"/>
    <col min="3" max="3" width="18.85546875" style="116" customWidth="1"/>
    <col min="4" max="4" width="18" style="116" customWidth="1"/>
  </cols>
  <sheetData>
    <row r="1" spans="1:5" ht="49.5">
      <c r="A1" s="116" t="s">
        <v>584</v>
      </c>
      <c r="B1" s="116" t="s">
        <v>880</v>
      </c>
      <c r="C1" s="170" t="s">
        <v>171</v>
      </c>
      <c r="D1" s="170" t="s">
        <v>2086</v>
      </c>
      <c r="E1" s="116" t="s">
        <v>586</v>
      </c>
    </row>
    <row r="2" spans="1:5">
      <c r="A2" s="169" t="s">
        <v>182</v>
      </c>
      <c r="B2" s="116">
        <v>189</v>
      </c>
      <c r="C2" s="135" t="s">
        <v>591</v>
      </c>
      <c r="D2" s="135">
        <v>81686</v>
      </c>
    </row>
    <row r="3" spans="1:5">
      <c r="A3" s="116" t="s">
        <v>420</v>
      </c>
      <c r="B3" s="116">
        <v>189</v>
      </c>
      <c r="C3" s="135" t="s">
        <v>654</v>
      </c>
      <c r="D3" s="135">
        <v>150741</v>
      </c>
    </row>
    <row r="4" spans="1:5">
      <c r="A4" s="116" t="s">
        <v>344</v>
      </c>
      <c r="B4" s="116">
        <v>121</v>
      </c>
      <c r="C4" s="135" t="s">
        <v>675</v>
      </c>
      <c r="D4" s="135">
        <v>516163</v>
      </c>
    </row>
    <row r="5" spans="1:5">
      <c r="A5" s="116" t="s">
        <v>128</v>
      </c>
      <c r="B5" s="116">
        <v>121</v>
      </c>
      <c r="C5" s="135" t="s">
        <v>1919</v>
      </c>
      <c r="D5" s="135">
        <v>819451</v>
      </c>
    </row>
    <row r="6" spans="1:5">
      <c r="A6" s="116" t="s">
        <v>499</v>
      </c>
      <c r="B6" s="116">
        <v>189</v>
      </c>
      <c r="C6" s="135" t="s">
        <v>699</v>
      </c>
      <c r="D6" s="135">
        <v>345573</v>
      </c>
    </row>
    <row r="7" spans="1:5">
      <c r="A7" s="169" t="s">
        <v>216</v>
      </c>
      <c r="B7" s="116">
        <v>123</v>
      </c>
      <c r="C7" s="135" t="s">
        <v>720</v>
      </c>
      <c r="D7" s="135">
        <v>66740</v>
      </c>
    </row>
    <row r="8" spans="1:5">
      <c r="A8" s="116" t="s">
        <v>382</v>
      </c>
      <c r="B8" s="116">
        <v>121</v>
      </c>
      <c r="C8" s="135" t="s">
        <v>770</v>
      </c>
      <c r="D8" s="135">
        <v>85939</v>
      </c>
    </row>
    <row r="9" spans="1:5">
      <c r="A9" s="116" t="s">
        <v>549</v>
      </c>
      <c r="B9" s="116">
        <v>121</v>
      </c>
      <c r="C9" s="135" t="s">
        <v>775</v>
      </c>
      <c r="D9" s="135">
        <v>1788232</v>
      </c>
    </row>
    <row r="10" spans="1:5">
      <c r="A10" s="116" t="s">
        <v>551</v>
      </c>
      <c r="B10" s="116">
        <v>189</v>
      </c>
      <c r="C10" s="135" t="s">
        <v>857</v>
      </c>
      <c r="D10" s="135">
        <v>146667</v>
      </c>
    </row>
    <row r="11" spans="1:5">
      <c r="A11" s="116" t="s">
        <v>179</v>
      </c>
      <c r="B11" s="116">
        <v>105</v>
      </c>
      <c r="C11" s="135" t="s">
        <v>834</v>
      </c>
      <c r="D11" s="135">
        <v>536250</v>
      </c>
    </row>
    <row r="12" spans="1:5">
      <c r="A12" s="169" t="s">
        <v>181</v>
      </c>
      <c r="B12" s="116">
        <v>113</v>
      </c>
      <c r="C12" s="116" t="s">
        <v>835</v>
      </c>
      <c r="D12" s="135">
        <v>163064</v>
      </c>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4B875-2A9C-47D9-A378-F8E403D33410}">
  <sheetPr>
    <tabColor rgb="FF92D050"/>
  </sheetPr>
  <dimension ref="A1:M320"/>
  <sheetViews>
    <sheetView workbookViewId="0">
      <pane ySplit="1" topLeftCell="A299" activePane="bottomLeft" state="frozen"/>
      <selection activeCell="F91" sqref="F91"/>
      <selection pane="bottomLeft" sqref="A1:F320"/>
    </sheetView>
  </sheetViews>
  <sheetFormatPr defaultRowHeight="12.75"/>
  <cols>
    <col min="1" max="2" width="9.140625" customWidth="1"/>
    <col min="3" max="3" width="19.28515625" customWidth="1"/>
    <col min="4" max="4" width="12.85546875" customWidth="1"/>
    <col min="5" max="5" width="14.140625" customWidth="1"/>
    <col min="6" max="6" width="14.7109375" style="23" customWidth="1"/>
  </cols>
  <sheetData>
    <row r="1" spans="1:13" ht="90">
      <c r="A1" s="119" t="s">
        <v>867</v>
      </c>
      <c r="B1" s="119"/>
      <c r="C1" s="119" t="s">
        <v>1577</v>
      </c>
      <c r="D1" s="120" t="s">
        <v>2087</v>
      </c>
      <c r="E1" s="120" t="s">
        <v>1757</v>
      </c>
      <c r="F1" s="120" t="s">
        <v>1758</v>
      </c>
      <c r="H1" s="289" t="s">
        <v>1771</v>
      </c>
      <c r="I1" s="290"/>
      <c r="J1" s="290"/>
      <c r="K1" s="290"/>
      <c r="L1" s="290"/>
      <c r="M1" s="290"/>
    </row>
    <row r="2" spans="1:13">
      <c r="A2" s="121" t="s">
        <v>51</v>
      </c>
      <c r="B2" s="121" t="s">
        <v>965</v>
      </c>
      <c r="C2" s="122" t="s">
        <v>52</v>
      </c>
      <c r="D2" s="129">
        <v>161351.26999999999</v>
      </c>
      <c r="E2" s="129">
        <v>0</v>
      </c>
      <c r="F2" s="168">
        <v>161351.26999999999</v>
      </c>
      <c r="H2" s="294"/>
    </row>
    <row r="3" spans="1:13">
      <c r="A3" s="121" t="s">
        <v>53</v>
      </c>
      <c r="B3" s="121" t="s">
        <v>965</v>
      </c>
      <c r="C3" s="122" t="s">
        <v>54</v>
      </c>
      <c r="D3" s="129">
        <v>9064.86</v>
      </c>
      <c r="E3" s="129">
        <v>0</v>
      </c>
      <c r="F3" s="168">
        <v>9064.86</v>
      </c>
      <c r="G3" s="23"/>
      <c r="H3" s="294"/>
    </row>
    <row r="4" spans="1:13">
      <c r="A4" s="121" t="s">
        <v>55</v>
      </c>
      <c r="B4" s="121" t="s">
        <v>966</v>
      </c>
      <c r="C4" s="122" t="s">
        <v>56</v>
      </c>
      <c r="D4" s="129">
        <v>0</v>
      </c>
      <c r="E4" s="129">
        <v>0</v>
      </c>
      <c r="F4" s="168">
        <v>0</v>
      </c>
      <c r="G4" s="23"/>
      <c r="H4" s="294"/>
    </row>
    <row r="5" spans="1:13">
      <c r="A5" s="121" t="s">
        <v>182</v>
      </c>
      <c r="B5" s="121" t="s">
        <v>967</v>
      </c>
      <c r="C5" s="122" t="s">
        <v>183</v>
      </c>
      <c r="D5" s="129">
        <v>50056.4</v>
      </c>
      <c r="E5" s="129">
        <v>0</v>
      </c>
      <c r="F5" s="168">
        <v>50056.4</v>
      </c>
      <c r="G5" s="23"/>
      <c r="H5" s="294"/>
    </row>
    <row r="6" spans="1:13">
      <c r="A6" s="121" t="s">
        <v>471</v>
      </c>
      <c r="B6" s="121" t="s">
        <v>967</v>
      </c>
      <c r="C6" s="122" t="s">
        <v>472</v>
      </c>
      <c r="D6" s="129">
        <v>865099.78</v>
      </c>
      <c r="E6" s="129">
        <v>194297.35</v>
      </c>
      <c r="F6" s="168">
        <v>1059397.1300000001</v>
      </c>
      <c r="G6" s="23"/>
      <c r="H6" s="294"/>
    </row>
    <row r="7" spans="1:13">
      <c r="A7" s="121" t="s">
        <v>473</v>
      </c>
      <c r="B7" s="121" t="s">
        <v>968</v>
      </c>
      <c r="C7" s="122" t="s">
        <v>1012</v>
      </c>
      <c r="D7" s="129">
        <v>2856.96</v>
      </c>
      <c r="E7" s="129">
        <v>0</v>
      </c>
      <c r="F7" s="168">
        <v>2856.96</v>
      </c>
      <c r="G7" s="23"/>
      <c r="H7" s="294"/>
    </row>
    <row r="8" spans="1:13">
      <c r="A8" s="121" t="s">
        <v>474</v>
      </c>
      <c r="B8" s="121" t="s">
        <v>969</v>
      </c>
      <c r="C8" s="122" t="s">
        <v>475</v>
      </c>
      <c r="D8" s="129">
        <v>3451216.28</v>
      </c>
      <c r="E8" s="129">
        <v>33230.300000000003</v>
      </c>
      <c r="F8" s="168">
        <v>3484446.5799999996</v>
      </c>
      <c r="G8" s="23"/>
      <c r="H8" s="294"/>
    </row>
    <row r="9" spans="1:13">
      <c r="A9" s="121" t="s">
        <v>476</v>
      </c>
      <c r="B9" s="121" t="s">
        <v>969</v>
      </c>
      <c r="C9" s="122" t="s">
        <v>575</v>
      </c>
      <c r="D9" s="129">
        <v>235838.67</v>
      </c>
      <c r="E9" s="129">
        <v>301.43</v>
      </c>
      <c r="F9" s="168">
        <v>236140.1</v>
      </c>
      <c r="G9" s="23"/>
      <c r="H9" s="294"/>
    </row>
    <row r="10" spans="1:13">
      <c r="A10" s="121" t="s">
        <v>477</v>
      </c>
      <c r="B10" s="121" t="s">
        <v>970</v>
      </c>
      <c r="C10" s="122" t="s">
        <v>194</v>
      </c>
      <c r="D10" s="129">
        <v>1442043.49</v>
      </c>
      <c r="E10" s="129">
        <v>5237.5600000000004</v>
      </c>
      <c r="F10" s="168">
        <v>1447281.05</v>
      </c>
      <c r="G10" s="23"/>
      <c r="H10" s="294"/>
    </row>
    <row r="11" spans="1:13">
      <c r="A11" s="121" t="s">
        <v>195</v>
      </c>
      <c r="B11" s="121" t="s">
        <v>969</v>
      </c>
      <c r="C11" s="122" t="s">
        <v>196</v>
      </c>
      <c r="D11" s="129">
        <v>3562495.18</v>
      </c>
      <c r="E11" s="129">
        <v>1406948.21</v>
      </c>
      <c r="F11" s="168">
        <v>4969443.3900000006</v>
      </c>
      <c r="G11" s="23"/>
      <c r="H11" s="294"/>
    </row>
    <row r="12" spans="1:13">
      <c r="A12" s="121" t="s">
        <v>197</v>
      </c>
      <c r="B12" s="121" t="s">
        <v>967</v>
      </c>
      <c r="C12" s="122" t="s">
        <v>198</v>
      </c>
      <c r="D12" s="129">
        <v>1013200.9</v>
      </c>
      <c r="E12" s="129">
        <v>318173.38</v>
      </c>
      <c r="F12" s="168">
        <v>1331374.28</v>
      </c>
      <c r="G12" s="23"/>
      <c r="H12" s="294"/>
    </row>
    <row r="13" spans="1:13">
      <c r="A13" s="121" t="s">
        <v>199</v>
      </c>
      <c r="B13" s="121" t="s">
        <v>966</v>
      </c>
      <c r="C13" s="122" t="s">
        <v>200</v>
      </c>
      <c r="D13" s="129">
        <v>0</v>
      </c>
      <c r="E13" s="129">
        <v>0</v>
      </c>
      <c r="F13" s="168">
        <v>0</v>
      </c>
      <c r="G13" s="23"/>
      <c r="H13" s="294"/>
    </row>
    <row r="14" spans="1:13">
      <c r="A14" s="121" t="s">
        <v>201</v>
      </c>
      <c r="B14" s="121" t="s">
        <v>969</v>
      </c>
      <c r="C14" s="122" t="s">
        <v>202</v>
      </c>
      <c r="D14" s="129">
        <v>3667423.64</v>
      </c>
      <c r="E14" s="129">
        <v>80154.94</v>
      </c>
      <c r="F14" s="168">
        <v>3747578.58</v>
      </c>
      <c r="G14" s="23"/>
      <c r="H14" s="294"/>
    </row>
    <row r="15" spans="1:13">
      <c r="A15" s="121" t="s">
        <v>203</v>
      </c>
      <c r="B15" s="121" t="s">
        <v>971</v>
      </c>
      <c r="C15" s="122" t="s">
        <v>13</v>
      </c>
      <c r="D15" s="129">
        <v>0</v>
      </c>
      <c r="E15" s="129">
        <v>0</v>
      </c>
      <c r="F15" s="168">
        <v>0</v>
      </c>
      <c r="G15" s="23"/>
      <c r="H15" s="294"/>
    </row>
    <row r="16" spans="1:13">
      <c r="A16" s="121" t="s">
        <v>14</v>
      </c>
      <c r="B16" s="121" t="s">
        <v>967</v>
      </c>
      <c r="C16" s="122" t="s">
        <v>15</v>
      </c>
      <c r="D16" s="129">
        <v>143725.35999999999</v>
      </c>
      <c r="E16" s="129">
        <v>83675.58</v>
      </c>
      <c r="F16" s="168">
        <v>227400.94</v>
      </c>
      <c r="G16" s="23"/>
      <c r="H16" s="294"/>
    </row>
    <row r="17" spans="1:8">
      <c r="A17" s="121" t="s">
        <v>16</v>
      </c>
      <c r="B17" s="121" t="s">
        <v>965</v>
      </c>
      <c r="C17" s="122" t="s">
        <v>17</v>
      </c>
      <c r="D17" s="129">
        <v>0</v>
      </c>
      <c r="E17" s="129">
        <v>1302.1600000000001</v>
      </c>
      <c r="F17" s="168">
        <v>1302.1600000000001</v>
      </c>
      <c r="G17" s="23"/>
      <c r="H17" s="294"/>
    </row>
    <row r="18" spans="1:8">
      <c r="A18" s="121" t="s">
        <v>524</v>
      </c>
      <c r="B18" s="121" t="s">
        <v>972</v>
      </c>
      <c r="C18" s="122" t="s">
        <v>525</v>
      </c>
      <c r="D18" s="129">
        <v>115197.54</v>
      </c>
      <c r="E18" s="129">
        <v>140782.35</v>
      </c>
      <c r="F18" s="168">
        <v>255979.89</v>
      </c>
      <c r="G18" s="23"/>
      <c r="H18" s="294"/>
    </row>
    <row r="19" spans="1:8">
      <c r="A19" s="121" t="s">
        <v>526</v>
      </c>
      <c r="B19" s="121" t="s">
        <v>973</v>
      </c>
      <c r="C19" s="122" t="s">
        <v>527</v>
      </c>
      <c r="D19" s="129">
        <v>27608.68</v>
      </c>
      <c r="E19" s="129">
        <v>0</v>
      </c>
      <c r="F19" s="168">
        <v>27608.68</v>
      </c>
      <c r="G19" s="23"/>
      <c r="H19" s="294"/>
    </row>
    <row r="20" spans="1:8">
      <c r="A20" s="121" t="s">
        <v>528</v>
      </c>
      <c r="B20" s="121" t="s">
        <v>973</v>
      </c>
      <c r="C20" s="122" t="s">
        <v>529</v>
      </c>
      <c r="D20" s="129">
        <v>3072</v>
      </c>
      <c r="E20" s="129">
        <v>0</v>
      </c>
      <c r="F20" s="168">
        <v>3072</v>
      </c>
      <c r="G20" s="23"/>
      <c r="H20" s="294"/>
    </row>
    <row r="21" spans="1:8">
      <c r="A21" s="121" t="s">
        <v>530</v>
      </c>
      <c r="B21" s="121" t="s">
        <v>972</v>
      </c>
      <c r="C21" s="122" t="s">
        <v>531</v>
      </c>
      <c r="D21" s="129">
        <v>3017.93</v>
      </c>
      <c r="E21" s="129">
        <v>0</v>
      </c>
      <c r="F21" s="168">
        <v>3017.93</v>
      </c>
      <c r="G21" s="23"/>
      <c r="H21" s="294"/>
    </row>
    <row r="22" spans="1:8">
      <c r="A22" s="121" t="s">
        <v>532</v>
      </c>
      <c r="B22" s="121" t="s">
        <v>967</v>
      </c>
      <c r="C22" s="122" t="s">
        <v>533</v>
      </c>
      <c r="D22" s="129">
        <v>198389.76000000001</v>
      </c>
      <c r="E22" s="129">
        <v>904.28</v>
      </c>
      <c r="F22" s="168">
        <v>199294.04</v>
      </c>
      <c r="G22" s="23"/>
      <c r="H22" s="294"/>
    </row>
    <row r="23" spans="1:8">
      <c r="A23" s="121" t="s">
        <v>534</v>
      </c>
      <c r="B23" s="121" t="s">
        <v>970</v>
      </c>
      <c r="C23" s="122" t="s">
        <v>535</v>
      </c>
      <c r="D23" s="129">
        <v>564561.1</v>
      </c>
      <c r="E23" s="129">
        <v>0</v>
      </c>
      <c r="F23" s="168">
        <v>564561.1</v>
      </c>
      <c r="G23" s="23"/>
      <c r="H23" s="294"/>
    </row>
    <row r="24" spans="1:8">
      <c r="A24" s="121" t="s">
        <v>536</v>
      </c>
      <c r="B24" s="121" t="s">
        <v>972</v>
      </c>
      <c r="C24" s="122" t="s">
        <v>537</v>
      </c>
      <c r="D24" s="129">
        <v>23843.64</v>
      </c>
      <c r="E24" s="129">
        <v>8742.5300000000007</v>
      </c>
      <c r="F24" s="168">
        <v>32586.17</v>
      </c>
      <c r="G24" s="23"/>
      <c r="H24" s="294"/>
    </row>
    <row r="25" spans="1:8">
      <c r="A25" s="121" t="s">
        <v>538</v>
      </c>
      <c r="B25" s="121" t="s">
        <v>969</v>
      </c>
      <c r="C25" s="122" t="s">
        <v>539</v>
      </c>
      <c r="D25" s="129">
        <v>0</v>
      </c>
      <c r="E25" s="129">
        <v>0</v>
      </c>
      <c r="F25" s="168">
        <v>0</v>
      </c>
      <c r="G25" s="23"/>
      <c r="H25" s="294"/>
    </row>
    <row r="26" spans="1:8">
      <c r="A26" s="121" t="s">
        <v>151</v>
      </c>
      <c r="B26" s="121" t="s">
        <v>973</v>
      </c>
      <c r="C26" s="122" t="s">
        <v>152</v>
      </c>
      <c r="D26" s="129">
        <v>39616.51</v>
      </c>
      <c r="E26" s="129">
        <v>0</v>
      </c>
      <c r="F26" s="168">
        <v>39616.51</v>
      </c>
      <c r="G26" s="23"/>
      <c r="H26" s="294"/>
    </row>
    <row r="27" spans="1:8">
      <c r="A27" s="121" t="s">
        <v>153</v>
      </c>
      <c r="B27" s="121" t="s">
        <v>973</v>
      </c>
      <c r="C27" s="122" t="s">
        <v>154</v>
      </c>
      <c r="D27" s="129">
        <v>58337.279999999999</v>
      </c>
      <c r="E27" s="129">
        <v>5946.51</v>
      </c>
      <c r="F27" s="168">
        <v>64283.79</v>
      </c>
      <c r="G27" s="23"/>
      <c r="H27" s="294"/>
    </row>
    <row r="28" spans="1:8">
      <c r="A28" s="121" t="s">
        <v>155</v>
      </c>
      <c r="B28" s="121" t="s">
        <v>970</v>
      </c>
      <c r="C28" s="122" t="s">
        <v>156</v>
      </c>
      <c r="D28" s="129">
        <v>80777.63</v>
      </c>
      <c r="E28" s="129">
        <v>20009.8</v>
      </c>
      <c r="F28" s="168">
        <v>100787.43000000001</v>
      </c>
      <c r="G28" s="23"/>
      <c r="H28" s="294"/>
    </row>
    <row r="29" spans="1:8">
      <c r="A29" s="121" t="s">
        <v>1050</v>
      </c>
      <c r="B29" s="121" t="s">
        <v>972</v>
      </c>
      <c r="C29" s="122" t="s">
        <v>1352</v>
      </c>
      <c r="D29" s="129">
        <v>0</v>
      </c>
      <c r="E29" s="129">
        <v>0</v>
      </c>
      <c r="F29" s="168">
        <v>0</v>
      </c>
      <c r="G29" s="23"/>
      <c r="H29" s="294"/>
    </row>
    <row r="30" spans="1:8">
      <c r="A30" s="121" t="s">
        <v>157</v>
      </c>
      <c r="B30" s="121" t="s">
        <v>970</v>
      </c>
      <c r="C30" s="122" t="s">
        <v>158</v>
      </c>
      <c r="D30" s="129">
        <v>0</v>
      </c>
      <c r="E30" s="129">
        <v>0</v>
      </c>
      <c r="F30" s="168">
        <v>0</v>
      </c>
      <c r="G30" s="23"/>
      <c r="H30" s="294"/>
    </row>
    <row r="31" spans="1:8">
      <c r="A31" s="121" t="s">
        <v>281</v>
      </c>
      <c r="B31" s="121" t="s">
        <v>972</v>
      </c>
      <c r="C31" s="122" t="s">
        <v>282</v>
      </c>
      <c r="D31" s="129">
        <v>0</v>
      </c>
      <c r="E31" s="129">
        <v>19966.39</v>
      </c>
      <c r="F31" s="168">
        <v>19966.39</v>
      </c>
      <c r="G31" s="23"/>
      <c r="H31" s="294"/>
    </row>
    <row r="32" spans="1:8">
      <c r="A32" s="121" t="s">
        <v>283</v>
      </c>
      <c r="B32" s="121" t="s">
        <v>966</v>
      </c>
      <c r="C32" s="122" t="s">
        <v>284</v>
      </c>
      <c r="D32" s="129">
        <v>788398.07999999996</v>
      </c>
      <c r="E32" s="129">
        <v>0</v>
      </c>
      <c r="F32" s="168">
        <v>788398.07999999996</v>
      </c>
      <c r="G32" s="23"/>
      <c r="H32" s="294"/>
    </row>
    <row r="33" spans="1:8">
      <c r="A33" s="121" t="s">
        <v>285</v>
      </c>
      <c r="B33" s="121" t="s">
        <v>965</v>
      </c>
      <c r="C33" s="122" t="s">
        <v>286</v>
      </c>
      <c r="D33" s="129">
        <v>277574.86</v>
      </c>
      <c r="E33" s="129">
        <v>0</v>
      </c>
      <c r="F33" s="168">
        <v>277574.86</v>
      </c>
      <c r="G33" s="23"/>
      <c r="H33" s="294"/>
    </row>
    <row r="34" spans="1:8">
      <c r="A34" s="121" t="s">
        <v>287</v>
      </c>
      <c r="B34" s="121" t="s">
        <v>965</v>
      </c>
      <c r="C34" s="122" t="s">
        <v>288</v>
      </c>
      <c r="D34" s="129">
        <v>113032.4</v>
      </c>
      <c r="E34" s="129">
        <v>6703.69</v>
      </c>
      <c r="F34" s="168">
        <v>119736.09</v>
      </c>
      <c r="G34" s="23"/>
      <c r="H34" s="294"/>
    </row>
    <row r="35" spans="1:8">
      <c r="A35" s="121" t="s">
        <v>289</v>
      </c>
      <c r="B35" s="121" t="s">
        <v>966</v>
      </c>
      <c r="C35" s="122" t="s">
        <v>290</v>
      </c>
      <c r="D35" s="129">
        <v>228629.3</v>
      </c>
      <c r="E35" s="129">
        <v>111732.22</v>
      </c>
      <c r="F35" s="168">
        <v>340361.52</v>
      </c>
      <c r="G35" s="23"/>
      <c r="H35" s="294"/>
    </row>
    <row r="36" spans="1:8">
      <c r="A36" s="121" t="s">
        <v>291</v>
      </c>
      <c r="B36" s="121" t="s">
        <v>966</v>
      </c>
      <c r="C36" s="122" t="s">
        <v>18</v>
      </c>
      <c r="D36" s="129">
        <v>74011.850000000006</v>
      </c>
      <c r="E36" s="129">
        <v>16012.9</v>
      </c>
      <c r="F36" s="168">
        <v>90024.75</v>
      </c>
      <c r="G36" s="23"/>
      <c r="H36" s="294"/>
    </row>
    <row r="37" spans="1:8" s="23" customFormat="1">
      <c r="A37" s="121" t="s">
        <v>1013</v>
      </c>
      <c r="B37" s="121">
        <v>121</v>
      </c>
      <c r="C37" s="122" t="s">
        <v>1014</v>
      </c>
      <c r="D37" s="129">
        <v>0</v>
      </c>
      <c r="E37" s="129">
        <v>0</v>
      </c>
      <c r="F37" s="168">
        <v>0</v>
      </c>
      <c r="H37" s="294"/>
    </row>
    <row r="38" spans="1:8">
      <c r="A38" s="121" t="s">
        <v>19</v>
      </c>
      <c r="B38" s="121" t="s">
        <v>972</v>
      </c>
      <c r="C38" s="122" t="s">
        <v>20</v>
      </c>
      <c r="D38" s="129">
        <v>38880.46</v>
      </c>
      <c r="E38" s="129">
        <v>5239.97</v>
      </c>
      <c r="F38" s="168">
        <v>44120.43</v>
      </c>
      <c r="G38" s="23"/>
      <c r="H38" s="294"/>
    </row>
    <row r="39" spans="1:8">
      <c r="A39" s="121" t="s">
        <v>21</v>
      </c>
      <c r="B39" s="121" t="s">
        <v>968</v>
      </c>
      <c r="C39" s="122" t="s">
        <v>22</v>
      </c>
      <c r="D39" s="129">
        <v>348561.41</v>
      </c>
      <c r="E39" s="129">
        <v>1507.13</v>
      </c>
      <c r="F39" s="168">
        <v>350068.54</v>
      </c>
      <c r="G39" s="23"/>
      <c r="H39" s="294"/>
    </row>
    <row r="40" spans="1:8">
      <c r="A40" s="121" t="s">
        <v>23</v>
      </c>
      <c r="B40" s="121" t="s">
        <v>971</v>
      </c>
      <c r="C40" s="122" t="s">
        <v>24</v>
      </c>
      <c r="D40" s="129">
        <v>2457.6</v>
      </c>
      <c r="E40" s="129">
        <v>0</v>
      </c>
      <c r="F40" s="168">
        <v>2457.6</v>
      </c>
      <c r="G40" s="23"/>
      <c r="H40" s="294"/>
    </row>
    <row r="41" spans="1:8">
      <c r="A41" s="121" t="s">
        <v>25</v>
      </c>
      <c r="B41" s="121" t="s">
        <v>969</v>
      </c>
      <c r="C41" s="122" t="s">
        <v>26</v>
      </c>
      <c r="D41" s="129">
        <v>943471.41</v>
      </c>
      <c r="E41" s="129">
        <v>0</v>
      </c>
      <c r="F41" s="168">
        <v>943471.41</v>
      </c>
      <c r="G41" s="23"/>
      <c r="H41" s="294"/>
    </row>
    <row r="42" spans="1:8">
      <c r="A42" s="121" t="s">
        <v>27</v>
      </c>
      <c r="B42" s="121" t="s">
        <v>966</v>
      </c>
      <c r="C42" s="122" t="s">
        <v>28</v>
      </c>
      <c r="D42" s="129">
        <v>8801.89</v>
      </c>
      <c r="E42" s="129">
        <v>0</v>
      </c>
      <c r="F42" s="168">
        <v>8801.89</v>
      </c>
      <c r="G42" s="23"/>
      <c r="H42" s="294"/>
    </row>
    <row r="43" spans="1:8">
      <c r="A43" s="121" t="s">
        <v>29</v>
      </c>
      <c r="B43" s="121" t="s">
        <v>968</v>
      </c>
      <c r="C43" s="122" t="s">
        <v>147</v>
      </c>
      <c r="D43" s="129">
        <v>35995.24</v>
      </c>
      <c r="E43" s="129">
        <v>0</v>
      </c>
      <c r="F43" s="168">
        <v>35995.24</v>
      </c>
      <c r="G43" s="23"/>
      <c r="H43" s="294"/>
    </row>
    <row r="44" spans="1:8">
      <c r="A44" s="121" t="s">
        <v>148</v>
      </c>
      <c r="B44" s="121" t="s">
        <v>966</v>
      </c>
      <c r="C44" s="122" t="s">
        <v>149</v>
      </c>
      <c r="D44" s="129">
        <v>4019.4</v>
      </c>
      <c r="E44" s="129">
        <v>0</v>
      </c>
      <c r="F44" s="168">
        <v>4019.4</v>
      </c>
      <c r="G44" s="23"/>
      <c r="H44" s="294"/>
    </row>
    <row r="45" spans="1:8">
      <c r="A45" s="121" t="s">
        <v>150</v>
      </c>
      <c r="B45" s="121" t="s">
        <v>966</v>
      </c>
      <c r="C45" s="122" t="s">
        <v>1015</v>
      </c>
      <c r="D45" s="129">
        <v>2118.4499999999998</v>
      </c>
      <c r="E45" s="129">
        <v>0</v>
      </c>
      <c r="F45" s="168">
        <v>2118.4499999999998</v>
      </c>
      <c r="G45" s="23"/>
      <c r="H45" s="294"/>
    </row>
    <row r="46" spans="1:8">
      <c r="A46" s="121" t="s">
        <v>133</v>
      </c>
      <c r="B46" s="121" t="s">
        <v>968</v>
      </c>
      <c r="C46" s="122" t="s">
        <v>1016</v>
      </c>
      <c r="D46" s="129">
        <v>26625.64</v>
      </c>
      <c r="E46" s="129">
        <v>0</v>
      </c>
      <c r="F46" s="168">
        <v>26625.64</v>
      </c>
      <c r="G46" s="23"/>
      <c r="H46" s="294"/>
    </row>
    <row r="47" spans="1:8">
      <c r="A47" s="121" t="s">
        <v>134</v>
      </c>
      <c r="B47" s="121" t="s">
        <v>966</v>
      </c>
      <c r="C47" s="122" t="s">
        <v>135</v>
      </c>
      <c r="D47" s="129">
        <v>74994.89</v>
      </c>
      <c r="E47" s="129">
        <v>0</v>
      </c>
      <c r="F47" s="168">
        <v>74994.89</v>
      </c>
      <c r="G47" s="23"/>
      <c r="H47" s="294"/>
    </row>
    <row r="48" spans="1:8">
      <c r="A48" s="121" t="s">
        <v>136</v>
      </c>
      <c r="B48" s="121" t="s">
        <v>967</v>
      </c>
      <c r="C48" s="122" t="s">
        <v>137</v>
      </c>
      <c r="D48" s="129">
        <v>7158.99</v>
      </c>
      <c r="E48" s="129">
        <v>582.35</v>
      </c>
      <c r="F48" s="168">
        <v>7741.34</v>
      </c>
      <c r="G48" s="23"/>
      <c r="H48" s="294"/>
    </row>
    <row r="49" spans="1:8">
      <c r="A49" s="121" t="s">
        <v>138</v>
      </c>
      <c r="B49" s="121" t="s">
        <v>967</v>
      </c>
      <c r="C49" s="122" t="s">
        <v>139</v>
      </c>
      <c r="D49" s="129">
        <v>0</v>
      </c>
      <c r="E49" s="129">
        <v>0</v>
      </c>
      <c r="F49" s="168">
        <v>0</v>
      </c>
      <c r="G49" s="23"/>
      <c r="H49" s="294"/>
    </row>
    <row r="50" spans="1:8">
      <c r="A50" s="121" t="s">
        <v>140</v>
      </c>
      <c r="B50" s="121" t="s">
        <v>965</v>
      </c>
      <c r="C50" s="122" t="s">
        <v>141</v>
      </c>
      <c r="D50" s="129">
        <v>0</v>
      </c>
      <c r="E50" s="129">
        <v>0</v>
      </c>
      <c r="F50" s="168">
        <v>0</v>
      </c>
      <c r="G50" s="23"/>
      <c r="H50" s="294"/>
    </row>
    <row r="51" spans="1:8">
      <c r="A51" s="121" t="s">
        <v>142</v>
      </c>
      <c r="B51" s="121" t="s">
        <v>973</v>
      </c>
      <c r="C51" s="122" t="s">
        <v>483</v>
      </c>
      <c r="D51" s="129">
        <v>0</v>
      </c>
      <c r="E51" s="129">
        <v>0</v>
      </c>
      <c r="F51" s="168">
        <v>0</v>
      </c>
      <c r="G51" s="23"/>
      <c r="H51" s="294"/>
    </row>
    <row r="52" spans="1:8">
      <c r="A52" s="121" t="s">
        <v>143</v>
      </c>
      <c r="B52" s="121" t="s">
        <v>967</v>
      </c>
      <c r="C52" s="122" t="s">
        <v>11</v>
      </c>
      <c r="D52" s="129">
        <v>24019.35</v>
      </c>
      <c r="E52" s="129">
        <v>6076.73</v>
      </c>
      <c r="F52" s="168">
        <v>30096.079999999998</v>
      </c>
      <c r="G52" s="23"/>
      <c r="H52" s="294"/>
    </row>
    <row r="53" spans="1:8">
      <c r="A53" s="121" t="s">
        <v>12</v>
      </c>
      <c r="B53" s="121" t="s">
        <v>972</v>
      </c>
      <c r="C53" s="122" t="s">
        <v>144</v>
      </c>
      <c r="D53" s="129">
        <v>0</v>
      </c>
      <c r="E53" s="129">
        <v>0</v>
      </c>
      <c r="F53" s="168">
        <v>0</v>
      </c>
      <c r="G53" s="23"/>
      <c r="H53" s="294"/>
    </row>
    <row r="54" spans="1:8">
      <c r="A54" s="121" t="s">
        <v>145</v>
      </c>
      <c r="B54" s="121" t="s">
        <v>966</v>
      </c>
      <c r="C54" s="122" t="s">
        <v>146</v>
      </c>
      <c r="D54" s="129">
        <v>5229.7700000000004</v>
      </c>
      <c r="E54" s="129">
        <v>0</v>
      </c>
      <c r="F54" s="168">
        <v>5229.7700000000004</v>
      </c>
      <c r="G54" s="23"/>
      <c r="H54" s="294"/>
    </row>
    <row r="55" spans="1:8">
      <c r="A55" s="121" t="s">
        <v>402</v>
      </c>
      <c r="B55" s="121" t="s">
        <v>966</v>
      </c>
      <c r="C55" s="122" t="s">
        <v>403</v>
      </c>
      <c r="D55" s="129">
        <v>6144</v>
      </c>
      <c r="E55" s="129">
        <v>0</v>
      </c>
      <c r="F55" s="168">
        <v>6144</v>
      </c>
      <c r="G55" s="23"/>
      <c r="H55" s="294"/>
    </row>
    <row r="56" spans="1:8">
      <c r="A56" s="121" t="s">
        <v>404</v>
      </c>
      <c r="B56" s="121" t="s">
        <v>966</v>
      </c>
      <c r="C56" s="122" t="s">
        <v>405</v>
      </c>
      <c r="D56" s="129">
        <v>0</v>
      </c>
      <c r="E56" s="129">
        <v>0</v>
      </c>
      <c r="F56" s="168">
        <v>0</v>
      </c>
      <c r="G56" s="23"/>
      <c r="H56" s="294"/>
    </row>
    <row r="57" spans="1:8">
      <c r="A57" s="121" t="s">
        <v>406</v>
      </c>
      <c r="B57" s="121" t="s">
        <v>971</v>
      </c>
      <c r="C57" s="122" t="s">
        <v>223</v>
      </c>
      <c r="D57" s="129">
        <v>0</v>
      </c>
      <c r="E57" s="129">
        <v>0</v>
      </c>
      <c r="F57" s="168">
        <v>0</v>
      </c>
      <c r="G57" s="23"/>
      <c r="H57" s="294"/>
    </row>
    <row r="58" spans="1:8">
      <c r="A58" s="121" t="s">
        <v>224</v>
      </c>
      <c r="B58" s="121" t="s">
        <v>967</v>
      </c>
      <c r="C58" s="122" t="s">
        <v>225</v>
      </c>
      <c r="D58" s="129">
        <v>13898.96</v>
      </c>
      <c r="E58" s="129">
        <v>20314.84</v>
      </c>
      <c r="F58" s="168">
        <v>34213.800000000003</v>
      </c>
      <c r="G58" s="23"/>
      <c r="H58" s="294"/>
    </row>
    <row r="59" spans="1:8">
      <c r="A59" s="121" t="s">
        <v>226</v>
      </c>
      <c r="B59" s="121" t="s">
        <v>966</v>
      </c>
      <c r="C59" s="122" t="s">
        <v>227</v>
      </c>
      <c r="D59" s="129">
        <v>11032.17</v>
      </c>
      <c r="E59" s="129">
        <v>0</v>
      </c>
      <c r="F59" s="168">
        <v>11032.17</v>
      </c>
      <c r="G59" s="23"/>
      <c r="H59" s="294"/>
    </row>
    <row r="60" spans="1:8">
      <c r="A60" s="121" t="s">
        <v>228</v>
      </c>
      <c r="B60" s="121" t="s">
        <v>968</v>
      </c>
      <c r="C60" s="122" t="s">
        <v>229</v>
      </c>
      <c r="D60" s="129">
        <v>0</v>
      </c>
      <c r="E60" s="129">
        <v>0</v>
      </c>
      <c r="F60" s="168">
        <v>0</v>
      </c>
      <c r="G60" s="23"/>
      <c r="H60" s="294"/>
    </row>
    <row r="61" spans="1:8">
      <c r="A61" s="121" t="s">
        <v>355</v>
      </c>
      <c r="B61" s="121" t="s">
        <v>966</v>
      </c>
      <c r="C61" s="122" t="s">
        <v>356</v>
      </c>
      <c r="D61" s="129">
        <v>95432.29</v>
      </c>
      <c r="E61" s="129">
        <v>7177.53</v>
      </c>
      <c r="F61" s="168">
        <v>102609.81999999999</v>
      </c>
      <c r="G61" s="23"/>
      <c r="H61" s="294"/>
    </row>
    <row r="62" spans="1:8">
      <c r="A62" s="121" t="s">
        <v>357</v>
      </c>
      <c r="B62" s="121" t="s">
        <v>969</v>
      </c>
      <c r="C62" s="122" t="s">
        <v>358</v>
      </c>
      <c r="D62" s="129">
        <v>87205.48</v>
      </c>
      <c r="E62" s="129">
        <v>1205.7</v>
      </c>
      <c r="F62" s="168">
        <v>88411.18</v>
      </c>
      <c r="G62" s="23"/>
      <c r="H62" s="294"/>
    </row>
    <row r="63" spans="1:8">
      <c r="A63" s="121" t="s">
        <v>359</v>
      </c>
      <c r="B63" s="121" t="s">
        <v>968</v>
      </c>
      <c r="C63" s="122" t="s">
        <v>360</v>
      </c>
      <c r="D63" s="129">
        <v>0</v>
      </c>
      <c r="E63" s="129">
        <v>0</v>
      </c>
      <c r="F63" s="168">
        <v>0</v>
      </c>
      <c r="G63" s="23"/>
      <c r="H63" s="294"/>
    </row>
    <row r="64" spans="1:8">
      <c r="A64" s="121" t="s">
        <v>230</v>
      </c>
      <c r="B64" s="121" t="s">
        <v>966</v>
      </c>
      <c r="C64" s="122" t="s">
        <v>1017</v>
      </c>
      <c r="D64" s="129">
        <v>158758.5</v>
      </c>
      <c r="E64" s="129">
        <v>0</v>
      </c>
      <c r="F64" s="168">
        <v>158758.5</v>
      </c>
      <c r="G64" s="23"/>
      <c r="H64" s="294"/>
    </row>
    <row r="65" spans="1:8">
      <c r="A65" s="121" t="s">
        <v>231</v>
      </c>
      <c r="B65" s="121" t="s">
        <v>971</v>
      </c>
      <c r="C65" s="122" t="s">
        <v>1018</v>
      </c>
      <c r="D65" s="129">
        <v>364988.01</v>
      </c>
      <c r="E65" s="129">
        <v>37017.4</v>
      </c>
      <c r="F65" s="168">
        <v>402005.41000000003</v>
      </c>
      <c r="G65" s="23"/>
      <c r="H65" s="294"/>
    </row>
    <row r="66" spans="1:8">
      <c r="A66" s="121" t="s">
        <v>232</v>
      </c>
      <c r="B66" s="121" t="s">
        <v>973</v>
      </c>
      <c r="C66" s="122" t="s">
        <v>233</v>
      </c>
      <c r="D66" s="129">
        <v>152914.32999999999</v>
      </c>
      <c r="E66" s="129">
        <v>0</v>
      </c>
      <c r="F66" s="168">
        <v>152914.32999999999</v>
      </c>
      <c r="G66" s="23"/>
      <c r="H66" s="294"/>
    </row>
    <row r="67" spans="1:8">
      <c r="A67" s="121" t="s">
        <v>234</v>
      </c>
      <c r="B67" s="121" t="s">
        <v>971</v>
      </c>
      <c r="C67" s="122" t="s">
        <v>235</v>
      </c>
      <c r="D67" s="129">
        <v>0</v>
      </c>
      <c r="E67" s="129">
        <v>0</v>
      </c>
      <c r="F67" s="168">
        <v>0</v>
      </c>
      <c r="G67" s="23"/>
      <c r="H67" s="294"/>
    </row>
    <row r="68" spans="1:8">
      <c r="A68" s="121" t="s">
        <v>236</v>
      </c>
      <c r="B68" s="121" t="s">
        <v>969</v>
      </c>
      <c r="C68" s="122" t="s">
        <v>237</v>
      </c>
      <c r="D68" s="129">
        <v>102593.74</v>
      </c>
      <c r="E68" s="129">
        <v>18968.07</v>
      </c>
      <c r="F68" s="168">
        <v>121561.81</v>
      </c>
      <c r="G68" s="23"/>
      <c r="H68" s="294"/>
    </row>
    <row r="69" spans="1:8">
      <c r="A69" s="121" t="s">
        <v>238</v>
      </c>
      <c r="B69" s="121" t="s">
        <v>967</v>
      </c>
      <c r="C69" s="122" t="s">
        <v>239</v>
      </c>
      <c r="D69" s="129">
        <v>262585.96000000002</v>
      </c>
      <c r="E69" s="129">
        <v>23150.65</v>
      </c>
      <c r="F69" s="168">
        <v>285736.61000000004</v>
      </c>
      <c r="G69" s="23"/>
      <c r="H69" s="294"/>
    </row>
    <row r="70" spans="1:8">
      <c r="A70" s="121" t="s">
        <v>240</v>
      </c>
      <c r="B70" s="121" t="s">
        <v>971</v>
      </c>
      <c r="C70" s="122" t="s">
        <v>241</v>
      </c>
      <c r="D70" s="129">
        <v>1043682.51</v>
      </c>
      <c r="E70" s="129">
        <v>0</v>
      </c>
      <c r="F70" s="168">
        <v>1043682.51</v>
      </c>
      <c r="G70" s="23"/>
      <c r="H70" s="294"/>
    </row>
    <row r="71" spans="1:8">
      <c r="A71" s="121" t="s">
        <v>409</v>
      </c>
      <c r="B71" s="121" t="s">
        <v>965</v>
      </c>
      <c r="C71" s="122" t="s">
        <v>410</v>
      </c>
      <c r="D71" s="129">
        <v>962.15</v>
      </c>
      <c r="E71" s="129">
        <v>7487.4</v>
      </c>
      <c r="F71" s="168">
        <v>8449.5499999999993</v>
      </c>
      <c r="G71" s="23"/>
      <c r="H71" s="294"/>
    </row>
    <row r="72" spans="1:8">
      <c r="A72" s="121" t="s">
        <v>411</v>
      </c>
      <c r="B72" s="121" t="s">
        <v>966</v>
      </c>
      <c r="C72" s="122" t="s">
        <v>412</v>
      </c>
      <c r="D72" s="129">
        <v>2750.05</v>
      </c>
      <c r="E72" s="129">
        <v>0</v>
      </c>
      <c r="F72" s="168">
        <v>2750.05</v>
      </c>
      <c r="G72" s="23"/>
      <c r="H72" s="294"/>
    </row>
    <row r="73" spans="1:8">
      <c r="A73" s="121" t="s">
        <v>413</v>
      </c>
      <c r="B73" s="121" t="s">
        <v>973</v>
      </c>
      <c r="C73" s="122" t="s">
        <v>414</v>
      </c>
      <c r="D73" s="129">
        <v>10520.99</v>
      </c>
      <c r="E73" s="129">
        <v>0</v>
      </c>
      <c r="F73" s="168">
        <v>10520.99</v>
      </c>
      <c r="G73" s="23"/>
      <c r="H73" s="294"/>
    </row>
    <row r="74" spans="1:8">
      <c r="A74" s="121" t="s">
        <v>415</v>
      </c>
      <c r="B74" s="121" t="s">
        <v>969</v>
      </c>
      <c r="C74" s="122" t="s">
        <v>416</v>
      </c>
      <c r="D74" s="129">
        <v>210445.52</v>
      </c>
      <c r="E74" s="129">
        <v>63053.29</v>
      </c>
      <c r="F74" s="168">
        <v>273498.81</v>
      </c>
      <c r="G74" s="23"/>
      <c r="H74" s="294"/>
    </row>
    <row r="75" spans="1:8">
      <c r="A75" s="121" t="s">
        <v>417</v>
      </c>
      <c r="B75" s="121" t="s">
        <v>973</v>
      </c>
      <c r="C75" s="122" t="s">
        <v>418</v>
      </c>
      <c r="D75" s="129">
        <v>204568.17</v>
      </c>
      <c r="E75" s="129">
        <v>0</v>
      </c>
      <c r="F75" s="168">
        <v>204568.17</v>
      </c>
      <c r="G75" s="23"/>
      <c r="H75" s="294"/>
    </row>
    <row r="76" spans="1:8">
      <c r="A76" s="121" t="s">
        <v>941</v>
      </c>
      <c r="B76" s="121">
        <v>112</v>
      </c>
      <c r="C76" s="122" t="s">
        <v>869</v>
      </c>
      <c r="D76" s="129">
        <v>800673.79</v>
      </c>
      <c r="E76" s="129">
        <v>0</v>
      </c>
      <c r="F76" s="168">
        <v>800673.79</v>
      </c>
      <c r="G76" s="23"/>
      <c r="H76" s="294"/>
    </row>
    <row r="77" spans="1:8">
      <c r="A77" s="121" t="s">
        <v>419</v>
      </c>
      <c r="B77" s="121" t="s">
        <v>965</v>
      </c>
      <c r="C77" s="122" t="s">
        <v>512</v>
      </c>
      <c r="D77" s="129">
        <v>549.27</v>
      </c>
      <c r="E77" s="129">
        <v>0</v>
      </c>
      <c r="F77" s="168">
        <v>549.27</v>
      </c>
      <c r="G77" s="23"/>
      <c r="H77" s="294"/>
    </row>
    <row r="78" spans="1:8">
      <c r="A78" s="121" t="s">
        <v>513</v>
      </c>
      <c r="B78" s="121" t="s">
        <v>967</v>
      </c>
      <c r="C78" s="122" t="s">
        <v>514</v>
      </c>
      <c r="D78" s="129">
        <v>5819386.6799999997</v>
      </c>
      <c r="E78" s="129">
        <v>0</v>
      </c>
      <c r="F78" s="168">
        <v>5819386.6799999997</v>
      </c>
      <c r="G78" s="23"/>
      <c r="H78" s="294"/>
    </row>
    <row r="79" spans="1:8">
      <c r="A79" s="121" t="s">
        <v>515</v>
      </c>
      <c r="B79" s="121" t="s">
        <v>970</v>
      </c>
      <c r="C79" s="122" t="s">
        <v>1019</v>
      </c>
      <c r="D79" s="129">
        <v>2325427.81</v>
      </c>
      <c r="E79" s="129">
        <v>0</v>
      </c>
      <c r="F79" s="168">
        <v>2325427.81</v>
      </c>
      <c r="G79" s="23"/>
      <c r="H79" s="294"/>
    </row>
    <row r="80" spans="1:8">
      <c r="A80" s="121" t="s">
        <v>516</v>
      </c>
      <c r="B80" s="121" t="s">
        <v>966</v>
      </c>
      <c r="C80" s="122" t="s">
        <v>1020</v>
      </c>
      <c r="D80" s="129">
        <v>0</v>
      </c>
      <c r="E80" s="129">
        <v>0</v>
      </c>
      <c r="F80" s="168">
        <v>0</v>
      </c>
      <c r="G80" s="23"/>
      <c r="H80" s="294"/>
    </row>
    <row r="81" spans="1:8">
      <c r="A81" s="121" t="s">
        <v>517</v>
      </c>
      <c r="B81" s="121" t="s">
        <v>969</v>
      </c>
      <c r="C81" s="122" t="s">
        <v>518</v>
      </c>
      <c r="D81" s="129">
        <v>4237150.62</v>
      </c>
      <c r="E81" s="129">
        <v>129950.35</v>
      </c>
      <c r="F81" s="168">
        <v>4367100.97</v>
      </c>
      <c r="G81" s="23"/>
      <c r="H81" s="294"/>
    </row>
    <row r="82" spans="1:8">
      <c r="A82" s="121" t="s">
        <v>420</v>
      </c>
      <c r="B82" s="121" t="s">
        <v>967</v>
      </c>
      <c r="C82" s="122" t="s">
        <v>421</v>
      </c>
      <c r="D82" s="129">
        <v>374640.23</v>
      </c>
      <c r="E82" s="129">
        <v>168179.48</v>
      </c>
      <c r="F82" s="168">
        <v>542819.71</v>
      </c>
      <c r="G82" s="23"/>
      <c r="H82" s="294"/>
    </row>
    <row r="83" spans="1:8">
      <c r="A83" s="121" t="s">
        <v>422</v>
      </c>
      <c r="B83" s="121" t="s">
        <v>969</v>
      </c>
      <c r="C83" s="122" t="s">
        <v>423</v>
      </c>
      <c r="D83" s="129">
        <v>308160.92</v>
      </c>
      <c r="E83" s="129">
        <v>0</v>
      </c>
      <c r="F83" s="168">
        <v>308160.92</v>
      </c>
      <c r="G83" s="23"/>
      <c r="H83" s="294"/>
    </row>
    <row r="84" spans="1:8">
      <c r="A84" s="121" t="s">
        <v>424</v>
      </c>
      <c r="B84" s="121" t="s">
        <v>968</v>
      </c>
      <c r="C84" s="122" t="s">
        <v>425</v>
      </c>
      <c r="D84" s="129">
        <v>20031.900000000001</v>
      </c>
      <c r="E84" s="129">
        <v>0</v>
      </c>
      <c r="F84" s="168">
        <v>20031.900000000001</v>
      </c>
      <c r="G84" s="23"/>
      <c r="H84" s="294"/>
    </row>
    <row r="85" spans="1:8">
      <c r="A85" s="121" t="s">
        <v>426</v>
      </c>
      <c r="B85" s="121" t="s">
        <v>969</v>
      </c>
      <c r="C85" s="122" t="s">
        <v>427</v>
      </c>
      <c r="D85" s="129">
        <v>768025.8</v>
      </c>
      <c r="E85" s="129">
        <v>0</v>
      </c>
      <c r="F85" s="168">
        <v>768025.8</v>
      </c>
      <c r="G85" s="23"/>
      <c r="H85" s="294"/>
    </row>
    <row r="86" spans="1:8">
      <c r="A86" s="121" t="s">
        <v>428</v>
      </c>
      <c r="B86" s="121" t="s">
        <v>966</v>
      </c>
      <c r="C86" s="122" t="s">
        <v>429</v>
      </c>
      <c r="D86" s="129">
        <v>0</v>
      </c>
      <c r="E86" s="129">
        <v>0</v>
      </c>
      <c r="F86" s="168">
        <v>0</v>
      </c>
      <c r="G86" s="23"/>
      <c r="H86" s="294"/>
    </row>
    <row r="87" spans="1:8">
      <c r="A87" s="121" t="s">
        <v>430</v>
      </c>
      <c r="B87" s="121" t="s">
        <v>966</v>
      </c>
      <c r="C87" s="122" t="s">
        <v>431</v>
      </c>
      <c r="D87" s="129">
        <v>0</v>
      </c>
      <c r="E87" s="129">
        <v>0</v>
      </c>
      <c r="F87" s="168">
        <v>0</v>
      </c>
      <c r="G87" s="23"/>
      <c r="H87" s="294"/>
    </row>
    <row r="88" spans="1:8">
      <c r="A88" s="121" t="s">
        <v>432</v>
      </c>
      <c r="B88" s="121" t="s">
        <v>970</v>
      </c>
      <c r="C88" s="122" t="s">
        <v>433</v>
      </c>
      <c r="D88" s="129">
        <v>0</v>
      </c>
      <c r="E88" s="129">
        <v>0</v>
      </c>
      <c r="F88" s="168">
        <v>0</v>
      </c>
      <c r="G88" s="23"/>
      <c r="H88" s="294"/>
    </row>
    <row r="89" spans="1:8">
      <c r="A89" s="121" t="s">
        <v>434</v>
      </c>
      <c r="B89" s="121" t="s">
        <v>971</v>
      </c>
      <c r="C89" s="122" t="s">
        <v>435</v>
      </c>
      <c r="D89" s="129">
        <v>0</v>
      </c>
      <c r="E89" s="129">
        <v>0</v>
      </c>
      <c r="F89" s="168">
        <v>0</v>
      </c>
      <c r="G89" s="23"/>
      <c r="H89" s="294"/>
    </row>
    <row r="90" spans="1:8">
      <c r="A90" s="121" t="s">
        <v>436</v>
      </c>
      <c r="B90" s="121" t="s">
        <v>973</v>
      </c>
      <c r="C90" s="122" t="s">
        <v>218</v>
      </c>
      <c r="D90" s="129">
        <v>14229.5</v>
      </c>
      <c r="E90" s="129">
        <v>0</v>
      </c>
      <c r="F90" s="168">
        <v>14229.5</v>
      </c>
      <c r="G90" s="23"/>
      <c r="H90" s="294"/>
    </row>
    <row r="91" spans="1:8">
      <c r="A91" s="121" t="s">
        <v>219</v>
      </c>
      <c r="B91" s="121" t="s">
        <v>971</v>
      </c>
      <c r="C91" s="122" t="s">
        <v>220</v>
      </c>
      <c r="D91" s="129">
        <v>141237.04</v>
      </c>
      <c r="E91" s="129">
        <v>11813.45</v>
      </c>
      <c r="F91" s="168">
        <v>153050.49000000002</v>
      </c>
      <c r="G91" s="23"/>
      <c r="H91" s="294"/>
    </row>
    <row r="92" spans="1:8">
      <c r="A92" s="121" t="s">
        <v>221</v>
      </c>
      <c r="B92" s="121" t="s">
        <v>971</v>
      </c>
      <c r="C92" s="122" t="s">
        <v>222</v>
      </c>
      <c r="D92" s="129">
        <v>18432</v>
      </c>
      <c r="E92" s="129">
        <v>1932.74</v>
      </c>
      <c r="F92" s="168">
        <v>20364.740000000002</v>
      </c>
      <c r="G92" s="23"/>
      <c r="H92" s="294"/>
    </row>
    <row r="93" spans="1:8">
      <c r="A93" s="121" t="s">
        <v>313</v>
      </c>
      <c r="B93" s="121" t="s">
        <v>967</v>
      </c>
      <c r="C93" s="122" t="s">
        <v>438</v>
      </c>
      <c r="D93" s="129">
        <v>279924.33</v>
      </c>
      <c r="E93" s="129">
        <v>72469.8</v>
      </c>
      <c r="F93" s="168">
        <v>352394.13</v>
      </c>
      <c r="G93" s="23"/>
      <c r="H93" s="294"/>
    </row>
    <row r="94" spans="1:8">
      <c r="A94" s="121" t="s">
        <v>439</v>
      </c>
      <c r="B94" s="121" t="s">
        <v>965</v>
      </c>
      <c r="C94" s="122" t="s">
        <v>440</v>
      </c>
      <c r="D94" s="129">
        <v>3094.12</v>
      </c>
      <c r="E94" s="129">
        <v>0</v>
      </c>
      <c r="F94" s="168">
        <v>3094.12</v>
      </c>
      <c r="G94" s="23"/>
      <c r="H94" s="294"/>
    </row>
    <row r="95" spans="1:8">
      <c r="A95" s="121" t="s">
        <v>441</v>
      </c>
      <c r="B95" s="121" t="s">
        <v>966</v>
      </c>
      <c r="C95" s="122" t="s">
        <v>442</v>
      </c>
      <c r="D95" s="129">
        <v>2457.6</v>
      </c>
      <c r="E95" s="129">
        <v>0</v>
      </c>
      <c r="F95" s="168">
        <v>2457.6</v>
      </c>
      <c r="G95" s="23"/>
      <c r="H95" s="294"/>
    </row>
    <row r="96" spans="1:8">
      <c r="A96" s="121" t="s">
        <v>443</v>
      </c>
      <c r="B96" s="121" t="s">
        <v>970</v>
      </c>
      <c r="C96" s="122" t="s">
        <v>444</v>
      </c>
      <c r="D96" s="129">
        <v>0</v>
      </c>
      <c r="E96" s="129">
        <v>0</v>
      </c>
      <c r="F96" s="168">
        <v>0</v>
      </c>
      <c r="G96" s="23"/>
      <c r="H96" s="294"/>
    </row>
    <row r="97" spans="1:8">
      <c r="A97" s="121" t="s">
        <v>445</v>
      </c>
      <c r="B97" s="121" t="s">
        <v>965</v>
      </c>
      <c r="C97" s="122" t="s">
        <v>446</v>
      </c>
      <c r="D97" s="129">
        <v>0</v>
      </c>
      <c r="E97" s="129">
        <v>0</v>
      </c>
      <c r="F97" s="168">
        <v>0</v>
      </c>
      <c r="G97" s="23"/>
      <c r="H97" s="294"/>
    </row>
    <row r="98" spans="1:8">
      <c r="A98" s="121" t="s">
        <v>447</v>
      </c>
      <c r="B98" s="121" t="s">
        <v>966</v>
      </c>
      <c r="C98" s="122" t="s">
        <v>448</v>
      </c>
      <c r="D98" s="129">
        <v>6502.81</v>
      </c>
      <c r="E98" s="129">
        <v>0</v>
      </c>
      <c r="F98" s="168">
        <v>6502.81</v>
      </c>
      <c r="G98" s="23"/>
      <c r="H98" s="294"/>
    </row>
    <row r="99" spans="1:8">
      <c r="A99" s="121" t="s">
        <v>449</v>
      </c>
      <c r="B99" s="121" t="s">
        <v>971</v>
      </c>
      <c r="C99" s="122" t="s">
        <v>450</v>
      </c>
      <c r="D99" s="129">
        <v>8204.7000000000007</v>
      </c>
      <c r="E99" s="129">
        <v>0</v>
      </c>
      <c r="F99" s="168">
        <v>8204.7000000000007</v>
      </c>
      <c r="G99" s="23"/>
      <c r="H99" s="294"/>
    </row>
    <row r="100" spans="1:8">
      <c r="A100" s="121" t="s">
        <v>332</v>
      </c>
      <c r="B100" s="121" t="s">
        <v>969</v>
      </c>
      <c r="C100" s="122" t="s">
        <v>333</v>
      </c>
      <c r="D100" s="129">
        <v>2524328.7599999998</v>
      </c>
      <c r="E100" s="129">
        <v>0</v>
      </c>
      <c r="F100" s="168">
        <v>2524328.7599999998</v>
      </c>
      <c r="G100" s="23"/>
      <c r="H100" s="294"/>
    </row>
    <row r="101" spans="1:8">
      <c r="A101" s="121" t="s">
        <v>334</v>
      </c>
      <c r="B101" s="121" t="s">
        <v>970</v>
      </c>
      <c r="C101" s="122" t="s">
        <v>335</v>
      </c>
      <c r="D101" s="129">
        <v>63726.8</v>
      </c>
      <c r="E101" s="129">
        <v>0</v>
      </c>
      <c r="F101" s="168">
        <v>63726.8</v>
      </c>
      <c r="G101" s="23"/>
      <c r="H101" s="294"/>
    </row>
    <row r="102" spans="1:8">
      <c r="A102" s="121" t="s">
        <v>336</v>
      </c>
      <c r="B102" s="121" t="s">
        <v>965</v>
      </c>
      <c r="C102" s="122" t="s">
        <v>337</v>
      </c>
      <c r="D102" s="129">
        <v>9863.58</v>
      </c>
      <c r="E102" s="129">
        <v>0</v>
      </c>
      <c r="F102" s="168">
        <v>9863.58</v>
      </c>
      <c r="G102" s="23"/>
      <c r="H102" s="294"/>
    </row>
    <row r="103" spans="1:8">
      <c r="A103" s="121" t="s">
        <v>338</v>
      </c>
      <c r="B103" s="121" t="s">
        <v>965</v>
      </c>
      <c r="C103" s="122" t="s">
        <v>339</v>
      </c>
      <c r="D103" s="129">
        <v>67891.199999999997</v>
      </c>
      <c r="E103" s="129">
        <v>31905.23</v>
      </c>
      <c r="F103" s="168">
        <v>99796.43</v>
      </c>
      <c r="G103" s="23"/>
      <c r="H103" s="294"/>
    </row>
    <row r="104" spans="1:8">
      <c r="A104" s="121" t="s">
        <v>1509</v>
      </c>
      <c r="B104" s="121" t="s">
        <v>969</v>
      </c>
      <c r="C104" s="122" t="s">
        <v>1583</v>
      </c>
      <c r="D104" s="129">
        <v>0</v>
      </c>
      <c r="E104" s="129">
        <v>0</v>
      </c>
      <c r="F104" s="168">
        <v>0</v>
      </c>
      <c r="G104" s="23"/>
      <c r="H104" s="294"/>
    </row>
    <row r="105" spans="1:8">
      <c r="A105" s="121" t="s">
        <v>964</v>
      </c>
      <c r="B105" s="121" t="s">
        <v>969</v>
      </c>
      <c r="C105" s="122" t="s">
        <v>1353</v>
      </c>
      <c r="D105" s="129">
        <v>0</v>
      </c>
      <c r="E105" s="129">
        <v>9330.91</v>
      </c>
      <c r="F105" s="168">
        <v>9330.91</v>
      </c>
      <c r="G105" s="23"/>
      <c r="H105" s="294"/>
    </row>
    <row r="106" spans="1:8">
      <c r="A106" s="121" t="s">
        <v>1051</v>
      </c>
      <c r="B106" s="121" t="s">
        <v>969</v>
      </c>
      <c r="C106" s="122" t="s">
        <v>1354</v>
      </c>
      <c r="D106" s="129">
        <v>0</v>
      </c>
      <c r="E106" s="129">
        <v>0</v>
      </c>
      <c r="F106" s="168">
        <v>0</v>
      </c>
      <c r="G106" s="23"/>
      <c r="H106" s="294"/>
    </row>
    <row r="107" spans="1:8">
      <c r="A107" s="121" t="s">
        <v>340</v>
      </c>
      <c r="B107" s="121">
        <v>101</v>
      </c>
      <c r="C107" s="122" t="s">
        <v>341</v>
      </c>
      <c r="D107" s="129">
        <v>7769.7</v>
      </c>
      <c r="E107" s="129">
        <v>0</v>
      </c>
      <c r="F107" s="168">
        <v>7769.7</v>
      </c>
      <c r="G107" s="23"/>
      <c r="H107" s="294"/>
    </row>
    <row r="108" spans="1:8">
      <c r="A108" s="121" t="s">
        <v>342</v>
      </c>
      <c r="B108" s="121">
        <v>189</v>
      </c>
      <c r="C108" s="122" t="s">
        <v>343</v>
      </c>
      <c r="D108" s="129">
        <v>0</v>
      </c>
      <c r="E108" s="129">
        <v>0</v>
      </c>
      <c r="F108" s="168">
        <v>0</v>
      </c>
      <c r="G108" s="23"/>
      <c r="H108" s="294"/>
    </row>
    <row r="109" spans="1:8">
      <c r="A109" s="123" t="s">
        <v>958</v>
      </c>
      <c r="B109" s="123" t="s">
        <v>968</v>
      </c>
      <c r="C109" s="122" t="s">
        <v>1355</v>
      </c>
      <c r="D109" s="129">
        <v>0</v>
      </c>
      <c r="E109" s="129">
        <v>0</v>
      </c>
      <c r="F109" s="168">
        <v>0</v>
      </c>
      <c r="G109" s="23"/>
      <c r="H109" s="294"/>
    </row>
    <row r="110" spans="1:8">
      <c r="A110" s="121" t="s">
        <v>344</v>
      </c>
      <c r="B110" s="121">
        <v>121</v>
      </c>
      <c r="C110" s="122" t="s">
        <v>345</v>
      </c>
      <c r="D110" s="129">
        <v>1405238.48</v>
      </c>
      <c r="E110" s="129">
        <v>0</v>
      </c>
      <c r="F110" s="168">
        <v>1405238.48</v>
      </c>
      <c r="G110" s="23"/>
      <c r="H110" s="294"/>
    </row>
    <row r="111" spans="1:8">
      <c r="A111" s="121" t="s">
        <v>346</v>
      </c>
      <c r="B111" s="121">
        <v>123</v>
      </c>
      <c r="C111" s="122" t="s">
        <v>347</v>
      </c>
      <c r="D111" s="129">
        <v>0</v>
      </c>
      <c r="E111" s="129">
        <v>0</v>
      </c>
      <c r="F111" s="168">
        <v>0</v>
      </c>
      <c r="G111" s="23"/>
      <c r="H111" s="294"/>
    </row>
    <row r="112" spans="1:8">
      <c r="A112" s="121" t="s">
        <v>452</v>
      </c>
      <c r="B112" s="121">
        <v>112</v>
      </c>
      <c r="C112" s="122" t="s">
        <v>453</v>
      </c>
      <c r="D112" s="129">
        <v>0</v>
      </c>
      <c r="E112" s="129">
        <v>0</v>
      </c>
      <c r="F112" s="168">
        <v>0</v>
      </c>
      <c r="G112" s="23"/>
      <c r="H112" s="294"/>
    </row>
    <row r="113" spans="1:8">
      <c r="A113" s="121" t="s">
        <v>454</v>
      </c>
      <c r="B113" s="121">
        <v>101</v>
      </c>
      <c r="C113" s="122" t="s">
        <v>455</v>
      </c>
      <c r="D113" s="129">
        <v>10331.75</v>
      </c>
      <c r="E113" s="129">
        <v>0</v>
      </c>
      <c r="F113" s="168">
        <v>10331.75</v>
      </c>
      <c r="G113" s="23"/>
      <c r="H113" s="294"/>
    </row>
    <row r="114" spans="1:8">
      <c r="A114" s="121" t="s">
        <v>456</v>
      </c>
      <c r="B114" s="121">
        <v>112</v>
      </c>
      <c r="C114" s="122" t="s">
        <v>457</v>
      </c>
      <c r="D114" s="129">
        <v>0</v>
      </c>
      <c r="E114" s="129">
        <v>0</v>
      </c>
      <c r="F114" s="168">
        <v>0</v>
      </c>
      <c r="G114" s="23"/>
      <c r="H114" s="294"/>
    </row>
    <row r="115" spans="1:8">
      <c r="A115" s="121" t="s">
        <v>458</v>
      </c>
      <c r="B115" s="121">
        <v>123</v>
      </c>
      <c r="C115" s="122" t="s">
        <v>459</v>
      </c>
      <c r="D115" s="129">
        <v>541491.61</v>
      </c>
      <c r="E115" s="129">
        <v>0</v>
      </c>
      <c r="F115" s="168">
        <v>541491.61</v>
      </c>
      <c r="G115" s="23"/>
      <c r="H115" s="294"/>
    </row>
    <row r="116" spans="1:8">
      <c r="A116" s="121" t="s">
        <v>460</v>
      </c>
      <c r="B116" s="121">
        <v>121</v>
      </c>
      <c r="C116" s="122" t="s">
        <v>478</v>
      </c>
      <c r="D116" s="129">
        <v>4438144.2</v>
      </c>
      <c r="E116" s="129">
        <v>0</v>
      </c>
      <c r="F116" s="168">
        <v>4438144.2</v>
      </c>
      <c r="G116" s="23"/>
      <c r="H116" s="294"/>
    </row>
    <row r="117" spans="1:8">
      <c r="A117" s="121" t="s">
        <v>479</v>
      </c>
      <c r="B117" s="121">
        <v>101</v>
      </c>
      <c r="C117" s="122" t="s">
        <v>480</v>
      </c>
      <c r="D117" s="129">
        <v>0</v>
      </c>
      <c r="E117" s="129">
        <v>0</v>
      </c>
      <c r="F117" s="168">
        <v>0</v>
      </c>
      <c r="G117" s="23"/>
      <c r="H117" s="294"/>
    </row>
    <row r="118" spans="1:8">
      <c r="A118" s="121" t="s">
        <v>481</v>
      </c>
      <c r="B118" s="121">
        <v>123</v>
      </c>
      <c r="C118" s="122" t="s">
        <v>1021</v>
      </c>
      <c r="D118" s="129">
        <v>64079.46</v>
      </c>
      <c r="E118" s="129">
        <v>0</v>
      </c>
      <c r="F118" s="168">
        <v>64079.46</v>
      </c>
      <c r="G118" s="23"/>
      <c r="H118" s="294"/>
    </row>
    <row r="119" spans="1:8">
      <c r="A119" s="121" t="s">
        <v>482</v>
      </c>
      <c r="B119" s="121">
        <v>105</v>
      </c>
      <c r="C119" s="122" t="s">
        <v>292</v>
      </c>
      <c r="D119" s="129">
        <v>7671.4</v>
      </c>
      <c r="E119" s="129">
        <v>1797.7</v>
      </c>
      <c r="F119" s="168">
        <v>9469.1</v>
      </c>
      <c r="G119" s="23"/>
      <c r="H119" s="294"/>
    </row>
    <row r="120" spans="1:8">
      <c r="A120" s="121" t="s">
        <v>293</v>
      </c>
      <c r="B120" s="121">
        <v>112</v>
      </c>
      <c r="C120" s="122" t="s">
        <v>294</v>
      </c>
      <c r="D120" s="129">
        <v>0</v>
      </c>
      <c r="E120" s="129">
        <v>0</v>
      </c>
      <c r="F120" s="168">
        <v>0</v>
      </c>
      <c r="G120" s="23"/>
      <c r="H120" s="294"/>
    </row>
    <row r="121" spans="1:8">
      <c r="A121" s="121" t="s">
        <v>121</v>
      </c>
      <c r="B121" s="121">
        <v>112</v>
      </c>
      <c r="C121" s="122" t="s">
        <v>1022</v>
      </c>
      <c r="D121" s="129">
        <v>81196.649999999994</v>
      </c>
      <c r="E121" s="129">
        <v>528.1</v>
      </c>
      <c r="F121" s="168">
        <v>81724.75</v>
      </c>
      <c r="G121" s="23"/>
      <c r="H121" s="294"/>
    </row>
    <row r="122" spans="1:8">
      <c r="A122" s="121" t="s">
        <v>295</v>
      </c>
      <c r="B122" s="121">
        <v>189</v>
      </c>
      <c r="C122" s="122" t="s">
        <v>296</v>
      </c>
      <c r="D122" s="129">
        <v>24224.560000000001</v>
      </c>
      <c r="E122" s="129">
        <v>0</v>
      </c>
      <c r="F122" s="168">
        <v>24224.560000000001</v>
      </c>
      <c r="G122" s="23"/>
      <c r="H122" s="294"/>
    </row>
    <row r="123" spans="1:8">
      <c r="A123" s="121" t="s">
        <v>123</v>
      </c>
      <c r="B123" s="121">
        <v>101</v>
      </c>
      <c r="C123" s="122" t="s">
        <v>581</v>
      </c>
      <c r="D123" s="129">
        <v>0</v>
      </c>
      <c r="E123" s="129">
        <v>0</v>
      </c>
      <c r="F123" s="168">
        <v>0</v>
      </c>
      <c r="G123" s="23"/>
      <c r="H123" s="294"/>
    </row>
    <row r="124" spans="1:8">
      <c r="A124" s="121" t="s">
        <v>124</v>
      </c>
      <c r="B124" s="121">
        <v>171</v>
      </c>
      <c r="C124" s="122" t="s">
        <v>125</v>
      </c>
      <c r="D124" s="129">
        <v>121874.84</v>
      </c>
      <c r="E124" s="129">
        <v>0</v>
      </c>
      <c r="F124" s="168">
        <v>121874.84</v>
      </c>
      <c r="G124" s="23"/>
      <c r="H124" s="294"/>
    </row>
    <row r="125" spans="1:8">
      <c r="A125" s="121" t="s">
        <v>245</v>
      </c>
      <c r="B125" s="121">
        <v>113</v>
      </c>
      <c r="C125" s="122" t="s">
        <v>1023</v>
      </c>
      <c r="D125" s="129">
        <v>0</v>
      </c>
      <c r="E125" s="129">
        <v>0</v>
      </c>
      <c r="F125" s="168">
        <v>0</v>
      </c>
      <c r="G125" s="23"/>
      <c r="H125" s="294"/>
    </row>
    <row r="126" spans="1:8">
      <c r="A126" s="121" t="s">
        <v>126</v>
      </c>
      <c r="B126" s="121">
        <v>189</v>
      </c>
      <c r="C126" s="122" t="s">
        <v>127</v>
      </c>
      <c r="D126" s="129">
        <v>1739905.84</v>
      </c>
      <c r="E126" s="129">
        <v>250440.77</v>
      </c>
      <c r="F126" s="168">
        <v>1990346.61</v>
      </c>
      <c r="G126" s="23"/>
      <c r="H126" s="294"/>
    </row>
    <row r="127" spans="1:8">
      <c r="A127" s="121" t="s">
        <v>128</v>
      </c>
      <c r="B127" s="121">
        <v>121</v>
      </c>
      <c r="C127" s="122" t="s">
        <v>129</v>
      </c>
      <c r="D127" s="129">
        <v>4842512.79</v>
      </c>
      <c r="E127" s="129">
        <v>5900.7</v>
      </c>
      <c r="F127" s="168">
        <v>4848413.49</v>
      </c>
      <c r="G127" s="23"/>
      <c r="H127" s="294"/>
    </row>
    <row r="128" spans="1:8">
      <c r="A128" s="121" t="s">
        <v>130</v>
      </c>
      <c r="B128" s="121">
        <v>189</v>
      </c>
      <c r="C128" s="122" t="s">
        <v>131</v>
      </c>
      <c r="D128" s="129">
        <v>269161.27</v>
      </c>
      <c r="E128" s="129">
        <v>0</v>
      </c>
      <c r="F128" s="168">
        <v>269161.27</v>
      </c>
      <c r="G128" s="23"/>
      <c r="H128" s="294"/>
    </row>
    <row r="129" spans="1:8">
      <c r="A129" s="121" t="s">
        <v>132</v>
      </c>
      <c r="B129" s="121">
        <v>101</v>
      </c>
      <c r="C129" s="122" t="s">
        <v>461</v>
      </c>
      <c r="D129" s="129">
        <v>0</v>
      </c>
      <c r="E129" s="129">
        <v>0</v>
      </c>
      <c r="F129" s="168">
        <v>0</v>
      </c>
      <c r="G129" s="23"/>
      <c r="H129" s="294"/>
    </row>
    <row r="130" spans="1:8">
      <c r="A130" s="121" t="s">
        <v>462</v>
      </c>
      <c r="B130" s="121" t="s">
        <v>966</v>
      </c>
      <c r="C130" s="122" t="s">
        <v>463</v>
      </c>
      <c r="D130" s="129">
        <v>672.15</v>
      </c>
      <c r="E130" s="129">
        <v>0</v>
      </c>
      <c r="F130" s="168">
        <v>672.15</v>
      </c>
      <c r="G130" s="23"/>
      <c r="H130" s="294"/>
    </row>
    <row r="131" spans="1:8">
      <c r="A131" s="121" t="s">
        <v>464</v>
      </c>
      <c r="B131" s="121" t="s">
        <v>966</v>
      </c>
      <c r="C131" s="122" t="s">
        <v>465</v>
      </c>
      <c r="D131" s="129">
        <v>2625.95</v>
      </c>
      <c r="E131" s="129">
        <v>2598.2800000000002</v>
      </c>
      <c r="F131" s="168">
        <v>5224.2299999999996</v>
      </c>
      <c r="G131" s="23"/>
      <c r="H131" s="294"/>
    </row>
    <row r="132" spans="1:8">
      <c r="A132" s="121" t="s">
        <v>466</v>
      </c>
      <c r="B132" s="121">
        <v>112</v>
      </c>
      <c r="C132" s="122" t="s">
        <v>467</v>
      </c>
      <c r="D132" s="129">
        <v>589124.81000000006</v>
      </c>
      <c r="E132" s="129">
        <v>0</v>
      </c>
      <c r="F132" s="168">
        <v>589124.81000000006</v>
      </c>
      <c r="G132" s="23"/>
      <c r="H132" s="294"/>
    </row>
    <row r="133" spans="1:8">
      <c r="A133" s="121" t="s">
        <v>468</v>
      </c>
      <c r="B133" s="121">
        <v>101</v>
      </c>
      <c r="C133" s="122" t="s">
        <v>469</v>
      </c>
      <c r="D133" s="129">
        <v>11059.2</v>
      </c>
      <c r="E133" s="129">
        <v>2712.83</v>
      </c>
      <c r="F133" s="168">
        <v>13772.03</v>
      </c>
      <c r="G133" s="23"/>
      <c r="H133" s="294"/>
    </row>
    <row r="134" spans="1:8">
      <c r="A134" s="121" t="s">
        <v>470</v>
      </c>
      <c r="B134" s="121">
        <v>189</v>
      </c>
      <c r="C134" s="122" t="s">
        <v>1024</v>
      </c>
      <c r="D134" s="129">
        <v>1045.71</v>
      </c>
      <c r="E134" s="129">
        <v>0</v>
      </c>
      <c r="F134" s="168">
        <v>1045.71</v>
      </c>
      <c r="G134" s="23"/>
      <c r="H134" s="294"/>
    </row>
    <row r="135" spans="1:8">
      <c r="A135" s="121" t="s">
        <v>1052</v>
      </c>
      <c r="B135" s="121" t="s">
        <v>966</v>
      </c>
      <c r="C135" s="122" t="s">
        <v>1356</v>
      </c>
      <c r="D135" s="129">
        <v>0</v>
      </c>
      <c r="E135" s="129">
        <v>0</v>
      </c>
      <c r="F135" s="168">
        <v>0</v>
      </c>
      <c r="G135" s="23"/>
      <c r="H135" s="294"/>
    </row>
    <row r="136" spans="1:8">
      <c r="A136" s="121" t="s">
        <v>931</v>
      </c>
      <c r="B136" s="121">
        <v>189</v>
      </c>
      <c r="C136" s="122" t="s">
        <v>1025</v>
      </c>
      <c r="D136" s="129">
        <v>0</v>
      </c>
      <c r="E136" s="129">
        <v>0</v>
      </c>
      <c r="F136" s="168">
        <v>0</v>
      </c>
      <c r="G136" s="23"/>
      <c r="H136" s="294"/>
    </row>
    <row r="137" spans="1:8">
      <c r="A137" s="121" t="s">
        <v>486</v>
      </c>
      <c r="B137" s="121">
        <v>112</v>
      </c>
      <c r="C137" s="122" t="s">
        <v>487</v>
      </c>
      <c r="D137" s="129">
        <v>0</v>
      </c>
      <c r="E137" s="129">
        <v>0</v>
      </c>
      <c r="F137" s="168">
        <v>0</v>
      </c>
      <c r="G137" s="23"/>
      <c r="H137" s="294"/>
    </row>
    <row r="138" spans="1:8">
      <c r="A138" s="121" t="s">
        <v>488</v>
      </c>
      <c r="B138" s="121">
        <v>189</v>
      </c>
      <c r="C138" s="122" t="s">
        <v>489</v>
      </c>
      <c r="D138" s="129">
        <v>248881.15</v>
      </c>
      <c r="E138" s="129">
        <v>92026.26</v>
      </c>
      <c r="F138" s="168">
        <v>340907.41</v>
      </c>
      <c r="G138" s="23"/>
      <c r="H138" s="294"/>
    </row>
    <row r="139" spans="1:8">
      <c r="A139" s="121" t="s">
        <v>490</v>
      </c>
      <c r="B139" s="121">
        <v>105</v>
      </c>
      <c r="C139" s="122" t="s">
        <v>491</v>
      </c>
      <c r="D139" s="129">
        <v>0</v>
      </c>
      <c r="E139" s="129">
        <v>0</v>
      </c>
      <c r="F139" s="168">
        <v>0</v>
      </c>
      <c r="G139" s="23"/>
      <c r="H139" s="294"/>
    </row>
    <row r="140" spans="1:8">
      <c r="A140" s="121" t="s">
        <v>492</v>
      </c>
      <c r="B140" s="121">
        <v>171</v>
      </c>
      <c r="C140" s="122" t="s">
        <v>493</v>
      </c>
      <c r="D140" s="129">
        <v>24576</v>
      </c>
      <c r="E140" s="129">
        <v>0</v>
      </c>
      <c r="F140" s="168">
        <v>24576</v>
      </c>
      <c r="G140" s="23"/>
      <c r="H140" s="294"/>
    </row>
    <row r="141" spans="1:8">
      <c r="A141" s="121" t="s">
        <v>494</v>
      </c>
      <c r="B141" s="121" t="s">
        <v>973</v>
      </c>
      <c r="C141" s="122" t="s">
        <v>495</v>
      </c>
      <c r="D141" s="129">
        <v>31932.83</v>
      </c>
      <c r="E141" s="129">
        <v>11967.78</v>
      </c>
      <c r="F141" s="168">
        <v>43900.61</v>
      </c>
      <c r="G141" s="23"/>
      <c r="H141" s="294"/>
    </row>
    <row r="142" spans="1:8">
      <c r="A142" s="121" t="s">
        <v>496</v>
      </c>
      <c r="B142" s="121">
        <v>113</v>
      </c>
      <c r="C142" s="122" t="s">
        <v>576</v>
      </c>
      <c r="D142" s="129">
        <v>7668.94</v>
      </c>
      <c r="E142" s="129">
        <v>0</v>
      </c>
      <c r="F142" s="168">
        <v>7668.94</v>
      </c>
      <c r="G142" s="23"/>
      <c r="H142" s="294"/>
    </row>
    <row r="143" spans="1:8">
      <c r="A143" s="121" t="s">
        <v>497</v>
      </c>
      <c r="B143" s="121">
        <v>101</v>
      </c>
      <c r="C143" s="122" t="s">
        <v>498</v>
      </c>
      <c r="D143" s="129">
        <v>28494.639999999999</v>
      </c>
      <c r="E143" s="129">
        <v>0</v>
      </c>
      <c r="F143" s="168">
        <v>28494.639999999999</v>
      </c>
      <c r="G143" s="23"/>
      <c r="H143" s="294"/>
    </row>
    <row r="144" spans="1:8">
      <c r="A144" s="121" t="s">
        <v>499</v>
      </c>
      <c r="B144" s="121">
        <v>189</v>
      </c>
      <c r="C144" s="122" t="s">
        <v>37</v>
      </c>
      <c r="D144" s="129">
        <v>1968456.5</v>
      </c>
      <c r="E144" s="129">
        <v>428752.95</v>
      </c>
      <c r="F144" s="168">
        <v>2397209.4500000002</v>
      </c>
      <c r="G144" s="23"/>
      <c r="H144" s="294"/>
    </row>
    <row r="145" spans="1:8">
      <c r="A145" s="121" t="s">
        <v>38</v>
      </c>
      <c r="B145" s="121">
        <v>113</v>
      </c>
      <c r="C145" s="122" t="s">
        <v>574</v>
      </c>
      <c r="D145" s="129">
        <v>0</v>
      </c>
      <c r="E145" s="129">
        <v>0</v>
      </c>
      <c r="F145" s="168">
        <v>0</v>
      </c>
      <c r="G145" s="23"/>
      <c r="H145" s="294"/>
    </row>
    <row r="146" spans="1:8">
      <c r="A146" s="121" t="s">
        <v>39</v>
      </c>
      <c r="B146" s="121">
        <v>101</v>
      </c>
      <c r="C146" s="122" t="s">
        <v>40</v>
      </c>
      <c r="D146" s="129">
        <v>904015.87</v>
      </c>
      <c r="E146" s="129">
        <v>1484.22</v>
      </c>
      <c r="F146" s="168">
        <v>905500.09</v>
      </c>
      <c r="G146" s="23"/>
      <c r="H146" s="294"/>
    </row>
    <row r="147" spans="1:8">
      <c r="A147" s="121" t="s">
        <v>41</v>
      </c>
      <c r="B147" s="121" t="s">
        <v>966</v>
      </c>
      <c r="C147" s="122" t="s">
        <v>42</v>
      </c>
      <c r="D147" s="129">
        <v>80635.08</v>
      </c>
      <c r="E147" s="129">
        <v>0</v>
      </c>
      <c r="F147" s="168">
        <v>80635.08</v>
      </c>
      <c r="G147" s="23"/>
      <c r="H147" s="294"/>
    </row>
    <row r="148" spans="1:8">
      <c r="A148" s="121" t="s">
        <v>43</v>
      </c>
      <c r="B148" s="121">
        <v>121</v>
      </c>
      <c r="C148" s="122" t="s">
        <v>44</v>
      </c>
      <c r="D148" s="129">
        <v>351258.62</v>
      </c>
      <c r="E148" s="129">
        <v>157203.99</v>
      </c>
      <c r="F148" s="168">
        <v>508462.61</v>
      </c>
      <c r="G148" s="23"/>
      <c r="H148" s="294"/>
    </row>
    <row r="149" spans="1:8">
      <c r="A149" s="121" t="s">
        <v>45</v>
      </c>
      <c r="B149" s="121">
        <v>189</v>
      </c>
      <c r="C149" s="122" t="s">
        <v>46</v>
      </c>
      <c r="D149" s="129">
        <v>119380.38</v>
      </c>
      <c r="E149" s="129">
        <v>40050.94</v>
      </c>
      <c r="F149" s="168">
        <v>159431.32</v>
      </c>
      <c r="G149" s="23"/>
      <c r="H149" s="294"/>
    </row>
    <row r="150" spans="1:8">
      <c r="A150" s="121" t="s">
        <v>47</v>
      </c>
      <c r="B150" s="121">
        <v>171</v>
      </c>
      <c r="C150" s="122" t="s">
        <v>68</v>
      </c>
      <c r="D150" s="129">
        <v>1708.03</v>
      </c>
      <c r="E150" s="129">
        <v>0</v>
      </c>
      <c r="F150" s="168">
        <v>1708.03</v>
      </c>
      <c r="G150" s="23"/>
      <c r="H150" s="294"/>
    </row>
    <row r="151" spans="1:8">
      <c r="A151" s="121" t="s">
        <v>69</v>
      </c>
      <c r="B151" s="121">
        <v>112</v>
      </c>
      <c r="C151" s="122" t="s">
        <v>70</v>
      </c>
      <c r="D151" s="129">
        <v>0</v>
      </c>
      <c r="E151" s="129">
        <v>0</v>
      </c>
      <c r="F151" s="168">
        <v>0</v>
      </c>
      <c r="G151" s="23"/>
      <c r="H151" s="294"/>
    </row>
    <row r="152" spans="1:8">
      <c r="A152" s="121" t="s">
        <v>71</v>
      </c>
      <c r="B152" s="121">
        <v>189</v>
      </c>
      <c r="C152" s="122" t="s">
        <v>72</v>
      </c>
      <c r="D152" s="129">
        <v>167062.73000000001</v>
      </c>
      <c r="E152" s="129">
        <v>185672.98</v>
      </c>
      <c r="F152" s="168">
        <v>352735.71</v>
      </c>
      <c r="G152" s="23"/>
      <c r="H152" s="294"/>
    </row>
    <row r="153" spans="1:8">
      <c r="A153" s="121" t="s">
        <v>73</v>
      </c>
      <c r="B153" s="121">
        <v>113</v>
      </c>
      <c r="C153" s="122" t="s">
        <v>74</v>
      </c>
      <c r="D153" s="129">
        <v>3385.34</v>
      </c>
      <c r="E153" s="129">
        <v>0</v>
      </c>
      <c r="F153" s="168">
        <v>3385.34</v>
      </c>
      <c r="G153" s="23"/>
      <c r="H153" s="294"/>
    </row>
    <row r="154" spans="1:8">
      <c r="A154" s="121" t="s">
        <v>75</v>
      </c>
      <c r="B154" s="121" t="s">
        <v>965</v>
      </c>
      <c r="C154" s="122" t="s">
        <v>204</v>
      </c>
      <c r="D154" s="129">
        <v>8562.2800000000007</v>
      </c>
      <c r="E154" s="129">
        <v>0</v>
      </c>
      <c r="F154" s="168">
        <v>8562.2800000000007</v>
      </c>
      <c r="G154" s="23"/>
      <c r="H154" s="294"/>
    </row>
    <row r="155" spans="1:8">
      <c r="A155" s="121" t="s">
        <v>205</v>
      </c>
      <c r="B155" s="121">
        <v>171</v>
      </c>
      <c r="C155" s="122" t="s">
        <v>206</v>
      </c>
      <c r="D155" s="129">
        <v>717325.52</v>
      </c>
      <c r="E155" s="129">
        <v>0</v>
      </c>
      <c r="F155" s="168">
        <v>717325.52</v>
      </c>
      <c r="G155" s="23"/>
      <c r="H155" s="294"/>
    </row>
    <row r="156" spans="1:8">
      <c r="A156" s="121" t="s">
        <v>207</v>
      </c>
      <c r="B156" s="121">
        <v>113</v>
      </c>
      <c r="C156" s="122" t="s">
        <v>208</v>
      </c>
      <c r="D156" s="129">
        <v>3498.39</v>
      </c>
      <c r="E156" s="129">
        <v>0</v>
      </c>
      <c r="F156" s="168">
        <v>3498.39</v>
      </c>
      <c r="G156" s="23"/>
      <c r="H156" s="294"/>
    </row>
    <row r="157" spans="1:8">
      <c r="A157" s="121" t="s">
        <v>209</v>
      </c>
      <c r="B157" s="121">
        <v>105</v>
      </c>
      <c r="C157" s="122" t="s">
        <v>210</v>
      </c>
      <c r="D157" s="129">
        <v>10331.75</v>
      </c>
      <c r="E157" s="129">
        <v>0</v>
      </c>
      <c r="F157" s="168">
        <v>10331.75</v>
      </c>
      <c r="G157" s="23"/>
      <c r="H157" s="294"/>
    </row>
    <row r="158" spans="1:8">
      <c r="A158" s="121" t="s">
        <v>211</v>
      </c>
      <c r="B158" s="121">
        <v>189</v>
      </c>
      <c r="C158" s="122" t="s">
        <v>212</v>
      </c>
      <c r="D158" s="129">
        <v>82651.55</v>
      </c>
      <c r="E158" s="129">
        <v>70069.259999999995</v>
      </c>
      <c r="F158" s="168">
        <v>152720.81</v>
      </c>
      <c r="G158" s="23"/>
      <c r="H158" s="294"/>
    </row>
    <row r="159" spans="1:8">
      <c r="A159" s="121" t="s">
        <v>87</v>
      </c>
      <c r="B159" s="121">
        <v>112</v>
      </c>
      <c r="C159" s="122" t="s">
        <v>88</v>
      </c>
      <c r="D159" s="129">
        <v>0</v>
      </c>
      <c r="E159" s="129">
        <v>0</v>
      </c>
      <c r="F159" s="168">
        <v>0</v>
      </c>
      <c r="G159" s="23"/>
      <c r="H159" s="294"/>
    </row>
    <row r="160" spans="1:8">
      <c r="A160" s="121" t="s">
        <v>89</v>
      </c>
      <c r="B160" s="121">
        <v>189</v>
      </c>
      <c r="C160" s="122" t="s">
        <v>580</v>
      </c>
      <c r="D160" s="129">
        <v>233409.33</v>
      </c>
      <c r="E160" s="129">
        <v>304837.13</v>
      </c>
      <c r="F160" s="168">
        <v>538246.46</v>
      </c>
      <c r="G160" s="23"/>
      <c r="H160" s="294"/>
    </row>
    <row r="161" spans="1:8">
      <c r="A161" s="121"/>
      <c r="B161" s="121"/>
      <c r="C161" s="122" t="s">
        <v>1357</v>
      </c>
      <c r="D161" s="129">
        <v>0</v>
      </c>
      <c r="E161" s="129">
        <v>0</v>
      </c>
      <c r="F161" s="168">
        <v>0</v>
      </c>
      <c r="G161" s="23"/>
      <c r="H161" s="294"/>
    </row>
    <row r="162" spans="1:8">
      <c r="A162" s="121" t="s">
        <v>90</v>
      </c>
      <c r="B162" s="121" t="s">
        <v>967</v>
      </c>
      <c r="C162" s="122" t="s">
        <v>91</v>
      </c>
      <c r="D162" s="129">
        <v>4258356.0199999996</v>
      </c>
      <c r="E162" s="129">
        <v>0</v>
      </c>
      <c r="F162" s="168">
        <v>4258356.0199999996</v>
      </c>
      <c r="G162" s="23"/>
      <c r="H162" s="294"/>
    </row>
    <row r="163" spans="1:8">
      <c r="A163" s="121" t="s">
        <v>92</v>
      </c>
      <c r="B163" s="121">
        <v>105</v>
      </c>
      <c r="C163" s="122" t="s">
        <v>93</v>
      </c>
      <c r="D163" s="129">
        <v>74950.66</v>
      </c>
      <c r="E163" s="129">
        <v>0</v>
      </c>
      <c r="F163" s="168">
        <v>74950.66</v>
      </c>
      <c r="G163" s="23"/>
      <c r="H163" s="294"/>
    </row>
    <row r="164" spans="1:8">
      <c r="A164" s="121" t="s">
        <v>94</v>
      </c>
      <c r="B164" s="121">
        <v>113</v>
      </c>
      <c r="C164" s="122" t="s">
        <v>95</v>
      </c>
      <c r="D164" s="129">
        <v>7818.85</v>
      </c>
      <c r="E164" s="129">
        <v>0</v>
      </c>
      <c r="F164" s="168">
        <v>7818.85</v>
      </c>
      <c r="G164" s="23"/>
      <c r="H164" s="294"/>
    </row>
    <row r="165" spans="1:8">
      <c r="A165" s="121" t="s">
        <v>96</v>
      </c>
      <c r="B165" s="121">
        <v>112</v>
      </c>
      <c r="C165" s="122" t="s">
        <v>1026</v>
      </c>
      <c r="D165" s="129">
        <v>0</v>
      </c>
      <c r="E165" s="129">
        <v>0</v>
      </c>
      <c r="F165" s="168">
        <v>0</v>
      </c>
      <c r="G165" s="23"/>
      <c r="H165" s="294"/>
    </row>
    <row r="166" spans="1:8">
      <c r="A166" s="121" t="s">
        <v>97</v>
      </c>
      <c r="B166" s="121">
        <v>171</v>
      </c>
      <c r="C166" s="122" t="s">
        <v>98</v>
      </c>
      <c r="D166" s="129">
        <v>0</v>
      </c>
      <c r="E166" s="129">
        <v>0</v>
      </c>
      <c r="F166" s="168">
        <v>0</v>
      </c>
      <c r="G166" s="23"/>
      <c r="H166" s="294"/>
    </row>
    <row r="167" spans="1:8">
      <c r="A167" s="121" t="s">
        <v>99</v>
      </c>
      <c r="B167" s="121">
        <v>101</v>
      </c>
      <c r="C167" s="122" t="s">
        <v>100</v>
      </c>
      <c r="D167" s="129">
        <v>27695.919999999998</v>
      </c>
      <c r="E167" s="129">
        <v>0</v>
      </c>
      <c r="F167" s="168">
        <v>27695.919999999998</v>
      </c>
      <c r="G167" s="23"/>
      <c r="H167" s="294"/>
    </row>
    <row r="168" spans="1:8">
      <c r="A168" s="121" t="s">
        <v>101</v>
      </c>
      <c r="B168" s="121">
        <v>101</v>
      </c>
      <c r="C168" s="122" t="s">
        <v>102</v>
      </c>
      <c r="D168" s="129">
        <v>12085.25</v>
      </c>
      <c r="E168" s="129">
        <v>0</v>
      </c>
      <c r="F168" s="168">
        <v>12085.25</v>
      </c>
      <c r="G168" s="23"/>
      <c r="H168" s="294"/>
    </row>
    <row r="169" spans="1:8">
      <c r="A169" s="121" t="s">
        <v>103</v>
      </c>
      <c r="B169" s="121">
        <v>189</v>
      </c>
      <c r="C169" s="122" t="s">
        <v>213</v>
      </c>
      <c r="D169" s="129">
        <v>16764.52</v>
      </c>
      <c r="E169" s="129">
        <v>75523.839999999997</v>
      </c>
      <c r="F169" s="168">
        <v>92288.36</v>
      </c>
      <c r="G169" s="23"/>
      <c r="H169" s="294"/>
    </row>
    <row r="170" spans="1:8">
      <c r="A170" s="121" t="s">
        <v>214</v>
      </c>
      <c r="B170" s="121">
        <v>113</v>
      </c>
      <c r="C170" s="122" t="s">
        <v>215</v>
      </c>
      <c r="D170" s="129">
        <v>0</v>
      </c>
      <c r="E170" s="129">
        <v>0</v>
      </c>
      <c r="F170" s="168">
        <v>0</v>
      </c>
      <c r="G170" s="23"/>
      <c r="H170" s="294"/>
    </row>
    <row r="171" spans="1:8">
      <c r="A171" s="121" t="s">
        <v>216</v>
      </c>
      <c r="B171" s="121">
        <v>123</v>
      </c>
      <c r="C171" s="122" t="s">
        <v>217</v>
      </c>
      <c r="D171" s="129">
        <v>25298.53</v>
      </c>
      <c r="E171" s="129">
        <v>0</v>
      </c>
      <c r="F171" s="168">
        <v>25298.53</v>
      </c>
      <c r="G171" s="23"/>
      <c r="H171" s="294"/>
    </row>
    <row r="172" spans="1:8">
      <c r="A172" s="121" t="s">
        <v>48</v>
      </c>
      <c r="B172" s="121">
        <v>114</v>
      </c>
      <c r="C172" s="122" t="s">
        <v>49</v>
      </c>
      <c r="D172" s="129">
        <v>951539.71</v>
      </c>
      <c r="E172" s="129">
        <v>16941.29</v>
      </c>
      <c r="F172" s="168">
        <v>968481</v>
      </c>
      <c r="G172" s="23"/>
      <c r="H172" s="294"/>
    </row>
    <row r="173" spans="1:8">
      <c r="A173" s="121" t="s">
        <v>50</v>
      </c>
      <c r="B173" s="121" t="s">
        <v>972</v>
      </c>
      <c r="C173" s="122" t="s">
        <v>315</v>
      </c>
      <c r="D173" s="129">
        <v>38154.239999999998</v>
      </c>
      <c r="E173" s="129">
        <v>5214.6499999999996</v>
      </c>
      <c r="F173" s="168">
        <v>43368.89</v>
      </c>
      <c r="G173" s="23"/>
      <c r="H173" s="294"/>
    </row>
    <row r="174" spans="1:8">
      <c r="A174" s="121" t="s">
        <v>316</v>
      </c>
      <c r="B174" s="121">
        <v>113</v>
      </c>
      <c r="C174" s="122" t="s">
        <v>317</v>
      </c>
      <c r="D174" s="129">
        <v>0</v>
      </c>
      <c r="E174" s="129">
        <v>0</v>
      </c>
      <c r="F174" s="168">
        <v>0</v>
      </c>
      <c r="G174" s="23"/>
      <c r="H174" s="294"/>
    </row>
    <row r="175" spans="1:8">
      <c r="A175" s="121" t="s">
        <v>318</v>
      </c>
      <c r="B175" s="121" t="s">
        <v>965</v>
      </c>
      <c r="C175" s="122" t="s">
        <v>319</v>
      </c>
      <c r="D175" s="129">
        <v>1648900.92</v>
      </c>
      <c r="E175" s="129">
        <v>0</v>
      </c>
      <c r="F175" s="168">
        <v>1648900.92</v>
      </c>
      <c r="G175" s="23"/>
      <c r="H175" s="294"/>
    </row>
    <row r="176" spans="1:8">
      <c r="A176" s="121" t="s">
        <v>320</v>
      </c>
      <c r="B176" s="121">
        <v>101</v>
      </c>
      <c r="C176" s="122" t="s">
        <v>321</v>
      </c>
      <c r="D176" s="129">
        <v>6006.37</v>
      </c>
      <c r="E176" s="129">
        <v>0</v>
      </c>
      <c r="F176" s="168">
        <v>6006.37</v>
      </c>
      <c r="G176" s="23"/>
      <c r="H176" s="294"/>
    </row>
    <row r="177" spans="1:8">
      <c r="A177" s="121" t="s">
        <v>322</v>
      </c>
      <c r="B177" s="121">
        <v>121</v>
      </c>
      <c r="C177" s="122" t="s">
        <v>323</v>
      </c>
      <c r="D177" s="129">
        <v>6321614.4400000004</v>
      </c>
      <c r="E177" s="129">
        <v>561402.86</v>
      </c>
      <c r="F177" s="168">
        <v>6883017.3000000007</v>
      </c>
      <c r="G177" s="23"/>
      <c r="H177" s="294"/>
    </row>
    <row r="178" spans="1:8">
      <c r="A178" s="121" t="s">
        <v>324</v>
      </c>
      <c r="B178" s="121">
        <v>189</v>
      </c>
      <c r="C178" s="122" t="s">
        <v>325</v>
      </c>
      <c r="D178" s="129">
        <v>370472.14</v>
      </c>
      <c r="E178" s="129">
        <v>239398.97</v>
      </c>
      <c r="F178" s="168">
        <v>609871.11</v>
      </c>
      <c r="G178" s="23"/>
      <c r="H178" s="294"/>
    </row>
    <row r="179" spans="1:8">
      <c r="A179" s="121" t="s">
        <v>326</v>
      </c>
      <c r="B179" s="121">
        <v>101</v>
      </c>
      <c r="C179" s="122" t="s">
        <v>327</v>
      </c>
      <c r="D179" s="129">
        <v>0</v>
      </c>
      <c r="E179" s="129">
        <v>0</v>
      </c>
      <c r="F179" s="168">
        <v>0</v>
      </c>
      <c r="G179" s="23"/>
      <c r="H179" s="294"/>
    </row>
    <row r="180" spans="1:8">
      <c r="A180" s="121" t="s">
        <v>328</v>
      </c>
      <c r="B180" s="121">
        <v>113</v>
      </c>
      <c r="C180" s="122" t="s">
        <v>329</v>
      </c>
      <c r="D180" s="129">
        <v>0</v>
      </c>
      <c r="E180" s="129">
        <v>0</v>
      </c>
      <c r="F180" s="168">
        <v>0</v>
      </c>
      <c r="G180" s="23"/>
      <c r="H180" s="294"/>
    </row>
    <row r="181" spans="1:8">
      <c r="A181" s="121" t="s">
        <v>330</v>
      </c>
      <c r="B181" s="121">
        <v>112</v>
      </c>
      <c r="C181" s="122" t="s">
        <v>331</v>
      </c>
      <c r="D181" s="129">
        <v>0</v>
      </c>
      <c r="E181" s="129">
        <v>0</v>
      </c>
      <c r="F181" s="168">
        <v>0</v>
      </c>
      <c r="G181" s="23"/>
      <c r="H181" s="294"/>
    </row>
    <row r="182" spans="1:8">
      <c r="A182" s="121" t="s">
        <v>104</v>
      </c>
      <c r="B182" s="121">
        <v>113</v>
      </c>
      <c r="C182" s="122" t="s">
        <v>105</v>
      </c>
      <c r="D182" s="129">
        <v>0</v>
      </c>
      <c r="E182" s="129">
        <v>0</v>
      </c>
      <c r="F182" s="168">
        <v>0</v>
      </c>
      <c r="G182" s="23"/>
      <c r="H182" s="294"/>
    </row>
    <row r="183" spans="1:8">
      <c r="A183" s="121" t="s">
        <v>106</v>
      </c>
      <c r="B183" s="121">
        <v>101</v>
      </c>
      <c r="C183" s="122" t="s">
        <v>107</v>
      </c>
      <c r="D183" s="129">
        <v>2127.0500000000002</v>
      </c>
      <c r="E183" s="129">
        <v>0</v>
      </c>
      <c r="F183" s="168">
        <v>2127.0500000000002</v>
      </c>
      <c r="G183" s="23"/>
      <c r="H183" s="294"/>
    </row>
    <row r="184" spans="1:8">
      <c r="A184" s="121" t="s">
        <v>108</v>
      </c>
      <c r="B184" s="121">
        <v>171</v>
      </c>
      <c r="C184" s="122" t="s">
        <v>109</v>
      </c>
      <c r="D184" s="129">
        <v>101228.54</v>
      </c>
      <c r="E184" s="129">
        <v>0</v>
      </c>
      <c r="F184" s="168">
        <v>101228.54</v>
      </c>
      <c r="G184" s="23"/>
      <c r="H184" s="294"/>
    </row>
    <row r="185" spans="1:8">
      <c r="A185" s="121" t="s">
        <v>110</v>
      </c>
      <c r="B185" s="121">
        <v>113</v>
      </c>
      <c r="C185" s="122" t="s">
        <v>111</v>
      </c>
      <c r="D185" s="129">
        <v>158910.87</v>
      </c>
      <c r="E185" s="129">
        <v>3617.1</v>
      </c>
      <c r="F185" s="168">
        <v>162527.97</v>
      </c>
      <c r="G185" s="23"/>
      <c r="H185" s="294"/>
    </row>
    <row r="186" spans="1:8">
      <c r="A186" s="121" t="s">
        <v>112</v>
      </c>
      <c r="B186" s="121">
        <v>171</v>
      </c>
      <c r="C186" s="122" t="s">
        <v>734</v>
      </c>
      <c r="D186" s="129">
        <v>72125.64</v>
      </c>
      <c r="E186" s="129">
        <v>2220.9</v>
      </c>
      <c r="F186" s="168">
        <v>74346.539999999994</v>
      </c>
      <c r="G186" s="23"/>
      <c r="H186" s="294"/>
    </row>
    <row r="187" spans="1:8">
      <c r="A187" s="121" t="s">
        <v>114</v>
      </c>
      <c r="B187" s="121">
        <v>113</v>
      </c>
      <c r="C187" s="122" t="s">
        <v>115</v>
      </c>
      <c r="D187" s="129">
        <v>9830.4</v>
      </c>
      <c r="E187" s="129">
        <v>0</v>
      </c>
      <c r="F187" s="168">
        <v>9830.4</v>
      </c>
      <c r="G187" s="23"/>
      <c r="H187" s="294"/>
    </row>
    <row r="188" spans="1:8">
      <c r="A188" s="121" t="s">
        <v>116</v>
      </c>
      <c r="B188" s="121">
        <v>101</v>
      </c>
      <c r="C188" s="122" t="s">
        <v>117</v>
      </c>
      <c r="D188" s="129">
        <v>0</v>
      </c>
      <c r="E188" s="129">
        <v>0</v>
      </c>
      <c r="F188" s="168">
        <v>0</v>
      </c>
      <c r="G188" s="23"/>
      <c r="H188" s="294"/>
    </row>
    <row r="189" spans="1:8">
      <c r="A189" s="121" t="s">
        <v>118</v>
      </c>
      <c r="B189" s="121">
        <v>189</v>
      </c>
      <c r="C189" s="122" t="s">
        <v>890</v>
      </c>
      <c r="D189" s="129">
        <v>6211.58</v>
      </c>
      <c r="E189" s="129">
        <v>0</v>
      </c>
      <c r="F189" s="168">
        <v>6211.58</v>
      </c>
      <c r="G189" s="23"/>
      <c r="H189" s="294"/>
    </row>
    <row r="190" spans="1:8">
      <c r="A190" s="121" t="s">
        <v>119</v>
      </c>
      <c r="B190" s="121">
        <v>101</v>
      </c>
      <c r="C190" s="122" t="s">
        <v>120</v>
      </c>
      <c r="D190" s="129">
        <v>0</v>
      </c>
      <c r="E190" s="129">
        <v>0</v>
      </c>
      <c r="F190" s="168">
        <v>0</v>
      </c>
      <c r="G190" s="23"/>
      <c r="H190" s="294"/>
    </row>
    <row r="191" spans="1:8">
      <c r="A191" s="121" t="s">
        <v>159</v>
      </c>
      <c r="B191" s="121" t="s">
        <v>966</v>
      </c>
      <c r="C191" s="122" t="s">
        <v>160</v>
      </c>
      <c r="D191" s="129">
        <v>0</v>
      </c>
      <c r="E191" s="129">
        <v>0</v>
      </c>
      <c r="F191" s="168">
        <v>0</v>
      </c>
      <c r="G191" s="23"/>
      <c r="H191" s="294"/>
    </row>
    <row r="192" spans="1:8">
      <c r="A192" s="121" t="s">
        <v>161</v>
      </c>
      <c r="B192" s="121">
        <v>171</v>
      </c>
      <c r="C192" s="122" t="s">
        <v>162</v>
      </c>
      <c r="D192" s="129">
        <v>909.31</v>
      </c>
      <c r="E192" s="129">
        <v>1205.7</v>
      </c>
      <c r="F192" s="168">
        <v>2115.0100000000002</v>
      </c>
      <c r="G192" s="23"/>
      <c r="H192" s="294"/>
    </row>
    <row r="193" spans="1:8">
      <c r="A193" s="121" t="s">
        <v>163</v>
      </c>
      <c r="B193" s="121" t="s">
        <v>973</v>
      </c>
      <c r="C193" s="122" t="s">
        <v>164</v>
      </c>
      <c r="D193" s="129">
        <v>12466.18</v>
      </c>
      <c r="E193" s="129">
        <v>0</v>
      </c>
      <c r="F193" s="168">
        <v>12466.18</v>
      </c>
      <c r="G193" s="23"/>
      <c r="H193" s="294"/>
    </row>
    <row r="194" spans="1:8">
      <c r="A194" s="121" t="s">
        <v>165</v>
      </c>
      <c r="B194" s="121">
        <v>121</v>
      </c>
      <c r="C194" s="122" t="s">
        <v>166</v>
      </c>
      <c r="D194" s="129">
        <v>142023.48000000001</v>
      </c>
      <c r="E194" s="129">
        <v>36079.370000000003</v>
      </c>
      <c r="F194" s="168">
        <v>178102.85</v>
      </c>
      <c r="G194" s="23"/>
      <c r="H194" s="294"/>
    </row>
    <row r="195" spans="1:8">
      <c r="A195" s="121" t="s">
        <v>167</v>
      </c>
      <c r="B195" s="121">
        <v>123</v>
      </c>
      <c r="C195" s="122" t="s">
        <v>168</v>
      </c>
      <c r="D195" s="129">
        <v>325686.07</v>
      </c>
      <c r="E195" s="129">
        <v>1760.32</v>
      </c>
      <c r="F195" s="168">
        <v>327446.39</v>
      </c>
      <c r="G195" s="23"/>
      <c r="H195" s="294"/>
    </row>
    <row r="196" spans="1:8">
      <c r="A196" s="121" t="s">
        <v>169</v>
      </c>
      <c r="B196" s="121">
        <v>171</v>
      </c>
      <c r="C196" s="122" t="s">
        <v>170</v>
      </c>
      <c r="D196" s="129">
        <v>0</v>
      </c>
      <c r="E196" s="129">
        <v>0</v>
      </c>
      <c r="F196" s="168">
        <v>0</v>
      </c>
      <c r="G196" s="23"/>
      <c r="H196" s="294"/>
    </row>
    <row r="197" spans="1:8">
      <c r="A197" s="121" t="s">
        <v>0</v>
      </c>
      <c r="B197" s="121">
        <v>101</v>
      </c>
      <c r="C197" s="122" t="s">
        <v>1</v>
      </c>
      <c r="D197" s="129">
        <v>0</v>
      </c>
      <c r="E197" s="129">
        <v>0</v>
      </c>
      <c r="F197" s="168">
        <v>0</v>
      </c>
      <c r="G197" s="23"/>
      <c r="H197" s="294"/>
    </row>
    <row r="198" spans="1:8">
      <c r="A198" s="121" t="s">
        <v>2</v>
      </c>
      <c r="B198" s="121">
        <v>123</v>
      </c>
      <c r="C198" s="122" t="s">
        <v>3</v>
      </c>
      <c r="D198" s="129">
        <v>415653.89</v>
      </c>
      <c r="E198" s="129">
        <v>0</v>
      </c>
      <c r="F198" s="168">
        <v>415653.89</v>
      </c>
      <c r="G198" s="23"/>
      <c r="H198" s="294"/>
    </row>
    <row r="199" spans="1:8">
      <c r="A199" s="121" t="s">
        <v>388</v>
      </c>
      <c r="B199" s="121">
        <v>171</v>
      </c>
      <c r="C199" s="122" t="s">
        <v>390</v>
      </c>
      <c r="D199" s="129">
        <v>14270.05</v>
      </c>
      <c r="E199" s="129">
        <v>0</v>
      </c>
      <c r="F199" s="168">
        <v>14270.05</v>
      </c>
      <c r="G199" s="23"/>
      <c r="H199" s="294"/>
    </row>
    <row r="200" spans="1:8">
      <c r="A200" s="121" t="s">
        <v>391</v>
      </c>
      <c r="B200" s="121">
        <v>123</v>
      </c>
      <c r="C200" s="122" t="s">
        <v>392</v>
      </c>
      <c r="D200" s="129">
        <v>0</v>
      </c>
      <c r="E200" s="129">
        <v>0</v>
      </c>
      <c r="F200" s="168">
        <v>0</v>
      </c>
      <c r="G200" s="23"/>
      <c r="H200" s="294"/>
    </row>
    <row r="201" spans="1:8">
      <c r="A201" s="121" t="s">
        <v>393</v>
      </c>
      <c r="B201" s="121">
        <v>113</v>
      </c>
      <c r="C201" s="122" t="s">
        <v>394</v>
      </c>
      <c r="D201" s="129">
        <v>0</v>
      </c>
      <c r="E201" s="129">
        <v>0</v>
      </c>
      <c r="F201" s="168">
        <v>0</v>
      </c>
      <c r="G201" s="23"/>
      <c r="H201" s="294"/>
    </row>
    <row r="202" spans="1:8">
      <c r="A202" s="121" t="s">
        <v>395</v>
      </c>
      <c r="B202" s="121">
        <v>121</v>
      </c>
      <c r="C202" s="122" t="s">
        <v>396</v>
      </c>
      <c r="D202" s="129">
        <v>365893.63</v>
      </c>
      <c r="E202" s="129">
        <v>0</v>
      </c>
      <c r="F202" s="168">
        <v>365893.63</v>
      </c>
      <c r="G202" s="23"/>
      <c r="H202" s="294"/>
    </row>
    <row r="203" spans="1:8">
      <c r="A203" s="121" t="s">
        <v>397</v>
      </c>
      <c r="B203" s="121">
        <v>113</v>
      </c>
      <c r="C203" s="122" t="s">
        <v>398</v>
      </c>
      <c r="D203" s="129">
        <v>12403.51</v>
      </c>
      <c r="E203" s="129">
        <v>1205.7</v>
      </c>
      <c r="F203" s="168">
        <v>13609.210000000001</v>
      </c>
      <c r="G203" s="23"/>
      <c r="H203" s="294"/>
    </row>
    <row r="204" spans="1:8">
      <c r="A204" s="121" t="s">
        <v>399</v>
      </c>
      <c r="B204" s="121">
        <v>123</v>
      </c>
      <c r="C204" s="122" t="s">
        <v>400</v>
      </c>
      <c r="D204" s="129">
        <v>0</v>
      </c>
      <c r="E204" s="129">
        <v>0</v>
      </c>
      <c r="F204" s="168">
        <v>0</v>
      </c>
      <c r="G204" s="23"/>
      <c r="H204" s="294"/>
    </row>
    <row r="205" spans="1:8">
      <c r="A205" s="121" t="s">
        <v>401</v>
      </c>
      <c r="B205" s="121">
        <v>114</v>
      </c>
      <c r="C205" s="122" t="s">
        <v>383</v>
      </c>
      <c r="D205" s="129">
        <v>275661.62</v>
      </c>
      <c r="E205" s="129">
        <v>6587.94</v>
      </c>
      <c r="F205" s="168">
        <v>282249.56</v>
      </c>
      <c r="G205" s="23"/>
      <c r="H205" s="294"/>
    </row>
    <row r="206" spans="1:8">
      <c r="A206" s="121" t="s">
        <v>384</v>
      </c>
      <c r="B206" s="121" t="s">
        <v>972</v>
      </c>
      <c r="C206" s="122" t="s">
        <v>385</v>
      </c>
      <c r="D206" s="129">
        <v>41968.44</v>
      </c>
      <c r="E206" s="129">
        <v>32666.03</v>
      </c>
      <c r="F206" s="168">
        <v>74634.47</v>
      </c>
      <c r="G206" s="23"/>
      <c r="H206" s="294"/>
    </row>
    <row r="207" spans="1:8">
      <c r="A207" s="121" t="s">
        <v>386</v>
      </c>
      <c r="B207" s="121">
        <v>123</v>
      </c>
      <c r="C207" s="122" t="s">
        <v>387</v>
      </c>
      <c r="D207" s="129">
        <v>8397.6200000000008</v>
      </c>
      <c r="E207" s="129">
        <v>0</v>
      </c>
      <c r="F207" s="168">
        <v>8397.6200000000008</v>
      </c>
      <c r="G207" s="23"/>
      <c r="H207" s="294"/>
    </row>
    <row r="208" spans="1:8">
      <c r="A208" s="121" t="s">
        <v>936</v>
      </c>
      <c r="B208" s="121" t="s">
        <v>968</v>
      </c>
      <c r="C208" s="122" t="s">
        <v>1027</v>
      </c>
      <c r="D208" s="129">
        <v>0</v>
      </c>
      <c r="E208" s="129">
        <v>0</v>
      </c>
      <c r="F208" s="168">
        <v>0</v>
      </c>
      <c r="G208" s="23"/>
      <c r="H208" s="294"/>
    </row>
    <row r="209" spans="1:8">
      <c r="A209" s="121" t="s">
        <v>348</v>
      </c>
      <c r="B209" s="121">
        <v>123</v>
      </c>
      <c r="C209" s="122" t="s">
        <v>349</v>
      </c>
      <c r="D209" s="129">
        <v>184643.17</v>
      </c>
      <c r="E209" s="129">
        <v>8555.65</v>
      </c>
      <c r="F209" s="168">
        <v>193198.82</v>
      </c>
      <c r="G209" s="23"/>
      <c r="H209" s="294"/>
    </row>
    <row r="210" spans="1:8">
      <c r="A210" s="121" t="s">
        <v>350</v>
      </c>
      <c r="B210" s="121">
        <v>101</v>
      </c>
      <c r="C210" s="122" t="s">
        <v>351</v>
      </c>
      <c r="D210" s="129">
        <v>173001.52</v>
      </c>
      <c r="E210" s="129">
        <v>0</v>
      </c>
      <c r="F210" s="168">
        <v>173001.52</v>
      </c>
      <c r="G210" s="23"/>
      <c r="H210" s="294"/>
    </row>
    <row r="211" spans="1:8">
      <c r="A211" s="121" t="s">
        <v>352</v>
      </c>
      <c r="B211" s="121">
        <v>121</v>
      </c>
      <c r="C211" s="122" t="s">
        <v>353</v>
      </c>
      <c r="D211" s="129">
        <v>224489.47</v>
      </c>
      <c r="E211" s="129">
        <v>5787.36</v>
      </c>
      <c r="F211" s="168">
        <v>230276.83</v>
      </c>
      <c r="G211" s="23"/>
      <c r="H211" s="294"/>
    </row>
    <row r="212" spans="1:8">
      <c r="A212" s="121" t="s">
        <v>354</v>
      </c>
      <c r="B212" s="121">
        <v>114</v>
      </c>
      <c r="C212" s="122" t="s">
        <v>1028</v>
      </c>
      <c r="D212" s="129">
        <v>0</v>
      </c>
      <c r="E212" s="129">
        <v>0</v>
      </c>
      <c r="F212" s="168">
        <v>0</v>
      </c>
      <c r="G212" s="23"/>
      <c r="H212" s="294"/>
    </row>
    <row r="213" spans="1:8">
      <c r="A213" s="121" t="s">
        <v>67</v>
      </c>
      <c r="B213" s="121" t="s">
        <v>972</v>
      </c>
      <c r="C213" s="122" t="s">
        <v>242</v>
      </c>
      <c r="D213" s="129">
        <v>32163.84</v>
      </c>
      <c r="E213" s="129">
        <v>0</v>
      </c>
      <c r="F213" s="168">
        <v>32163.84</v>
      </c>
      <c r="G213" s="23"/>
      <c r="H213" s="294"/>
    </row>
    <row r="214" spans="1:8">
      <c r="A214" s="121" t="s">
        <v>940</v>
      </c>
      <c r="B214" s="121">
        <v>114</v>
      </c>
      <c r="C214" s="122" t="s">
        <v>1029</v>
      </c>
      <c r="D214" s="129">
        <v>0</v>
      </c>
      <c r="E214" s="129">
        <v>0</v>
      </c>
      <c r="F214" s="168">
        <v>0</v>
      </c>
      <c r="G214" s="23"/>
      <c r="H214" s="294"/>
    </row>
    <row r="215" spans="1:8">
      <c r="A215" s="121" t="s">
        <v>243</v>
      </c>
      <c r="B215" s="121" t="s">
        <v>972</v>
      </c>
      <c r="C215" s="122" t="s">
        <v>244</v>
      </c>
      <c r="D215" s="129">
        <v>26785.38</v>
      </c>
      <c r="E215" s="129">
        <v>27738.33</v>
      </c>
      <c r="F215" s="168">
        <v>54523.710000000006</v>
      </c>
      <c r="G215" s="23"/>
      <c r="H215" s="294"/>
    </row>
    <row r="216" spans="1:8">
      <c r="A216" s="121" t="s">
        <v>362</v>
      </c>
      <c r="B216" s="121">
        <v>171</v>
      </c>
      <c r="C216" s="122" t="s">
        <v>363</v>
      </c>
      <c r="D216" s="129">
        <v>89760.15</v>
      </c>
      <c r="E216" s="129">
        <v>4822.8</v>
      </c>
      <c r="F216" s="168">
        <v>94582.95</v>
      </c>
      <c r="G216" s="23"/>
      <c r="H216" s="294"/>
    </row>
    <row r="217" spans="1:8">
      <c r="A217" s="121" t="s">
        <v>364</v>
      </c>
      <c r="B217" s="121">
        <v>113</v>
      </c>
      <c r="C217" s="122" t="s">
        <v>365</v>
      </c>
      <c r="D217" s="129">
        <v>16521.22</v>
      </c>
      <c r="E217" s="129">
        <v>0</v>
      </c>
      <c r="F217" s="168">
        <v>16521.22</v>
      </c>
      <c r="G217" s="23"/>
      <c r="H217" s="294"/>
    </row>
    <row r="218" spans="1:8">
      <c r="A218" s="121" t="s">
        <v>935</v>
      </c>
      <c r="B218" s="121">
        <v>121</v>
      </c>
      <c r="C218" s="122" t="s">
        <v>1030</v>
      </c>
      <c r="D218" s="129">
        <v>0</v>
      </c>
      <c r="E218" s="129">
        <v>0</v>
      </c>
      <c r="F218" s="168">
        <v>0</v>
      </c>
      <c r="G218" s="23"/>
      <c r="H218" s="294"/>
    </row>
    <row r="219" spans="1:8">
      <c r="A219" s="121" t="s">
        <v>366</v>
      </c>
      <c r="B219" s="121">
        <v>113</v>
      </c>
      <c r="C219" s="122" t="s">
        <v>367</v>
      </c>
      <c r="D219" s="129">
        <v>0</v>
      </c>
      <c r="E219" s="129">
        <v>0</v>
      </c>
      <c r="F219" s="168">
        <v>0</v>
      </c>
      <c r="G219" s="23"/>
      <c r="H219" s="294"/>
    </row>
    <row r="220" spans="1:8">
      <c r="A220" s="121" t="s">
        <v>368</v>
      </c>
      <c r="B220" s="121">
        <v>101</v>
      </c>
      <c r="C220" s="122" t="s">
        <v>1031</v>
      </c>
      <c r="D220" s="129">
        <v>0</v>
      </c>
      <c r="E220" s="129">
        <v>0</v>
      </c>
      <c r="F220" s="168">
        <v>0</v>
      </c>
      <c r="G220" s="23"/>
      <c r="H220" s="294"/>
    </row>
    <row r="221" spans="1:8">
      <c r="A221" s="121" t="s">
        <v>370</v>
      </c>
      <c r="B221" s="121">
        <v>121</v>
      </c>
      <c r="C221" s="122" t="s">
        <v>371</v>
      </c>
      <c r="D221" s="129">
        <v>209809</v>
      </c>
      <c r="E221" s="129">
        <v>23593.14</v>
      </c>
      <c r="F221" s="168">
        <v>233402.14</v>
      </c>
      <c r="G221" s="23"/>
      <c r="H221" s="294"/>
    </row>
    <row r="222" spans="1:8">
      <c r="A222" s="121" t="s">
        <v>372</v>
      </c>
      <c r="B222" s="121">
        <v>101</v>
      </c>
      <c r="C222" s="122" t="s">
        <v>373</v>
      </c>
      <c r="D222" s="129">
        <v>7423.18</v>
      </c>
      <c r="E222" s="129">
        <v>0</v>
      </c>
      <c r="F222" s="168">
        <v>7423.18</v>
      </c>
      <c r="G222" s="23"/>
      <c r="H222" s="294"/>
    </row>
    <row r="223" spans="1:8">
      <c r="A223" s="121" t="s">
        <v>374</v>
      </c>
      <c r="B223" s="121">
        <v>123</v>
      </c>
      <c r="C223" s="122" t="s">
        <v>375</v>
      </c>
      <c r="D223" s="129">
        <v>1162167.0900000001</v>
      </c>
      <c r="E223" s="129">
        <v>0</v>
      </c>
      <c r="F223" s="168">
        <v>1162167.0900000001</v>
      </c>
      <c r="G223" s="23"/>
      <c r="H223" s="294"/>
    </row>
    <row r="224" spans="1:8">
      <c r="A224" s="121" t="s">
        <v>376</v>
      </c>
      <c r="B224" s="121">
        <v>112</v>
      </c>
      <c r="C224" s="122" t="s">
        <v>377</v>
      </c>
      <c r="D224" s="129">
        <v>394265.4</v>
      </c>
      <c r="E224" s="129">
        <v>0</v>
      </c>
      <c r="F224" s="168">
        <v>394265.4</v>
      </c>
      <c r="G224" s="23"/>
      <c r="H224" s="294"/>
    </row>
    <row r="225" spans="1:8">
      <c r="A225" s="121" t="s">
        <v>378</v>
      </c>
      <c r="B225" s="121">
        <v>101</v>
      </c>
      <c r="C225" s="122" t="s">
        <v>379</v>
      </c>
      <c r="D225" s="129">
        <v>2829.93</v>
      </c>
      <c r="E225" s="129">
        <v>340.01</v>
      </c>
      <c r="F225" s="168">
        <v>3169.9399999999996</v>
      </c>
      <c r="G225" s="23"/>
      <c r="H225" s="294"/>
    </row>
    <row r="226" spans="1:8">
      <c r="A226" s="121" t="s">
        <v>380</v>
      </c>
      <c r="B226" s="121" t="s">
        <v>966</v>
      </c>
      <c r="C226" s="122" t="s">
        <v>381</v>
      </c>
      <c r="D226" s="129">
        <v>5637.73</v>
      </c>
      <c r="E226" s="129">
        <v>0</v>
      </c>
      <c r="F226" s="168">
        <v>5637.73</v>
      </c>
      <c r="G226" s="23"/>
      <c r="H226" s="294"/>
    </row>
    <row r="227" spans="1:8">
      <c r="A227" s="121" t="s">
        <v>382</v>
      </c>
      <c r="B227" s="121">
        <v>121</v>
      </c>
      <c r="C227" s="122" t="s">
        <v>269</v>
      </c>
      <c r="D227" s="129">
        <v>365207.96</v>
      </c>
      <c r="E227" s="129">
        <v>0</v>
      </c>
      <c r="F227" s="168">
        <v>365207.96</v>
      </c>
      <c r="G227" s="23"/>
      <c r="H227" s="294"/>
    </row>
    <row r="228" spans="1:8">
      <c r="A228" s="123" t="s">
        <v>270</v>
      </c>
      <c r="B228" s="123">
        <v>113</v>
      </c>
      <c r="C228" s="122" t="s">
        <v>271</v>
      </c>
      <c r="D228" s="129">
        <v>11463.48</v>
      </c>
      <c r="E228" s="129">
        <v>0</v>
      </c>
      <c r="F228" s="168">
        <v>11463.48</v>
      </c>
      <c r="G228" s="23"/>
      <c r="H228" s="294"/>
    </row>
    <row r="229" spans="1:8">
      <c r="A229" s="123" t="s">
        <v>272</v>
      </c>
      <c r="B229" s="123">
        <v>112</v>
      </c>
      <c r="C229" s="122" t="s">
        <v>273</v>
      </c>
      <c r="D229" s="129">
        <v>0</v>
      </c>
      <c r="E229" s="129">
        <v>0</v>
      </c>
      <c r="F229" s="168">
        <v>0</v>
      </c>
      <c r="G229" s="23"/>
      <c r="H229" s="294"/>
    </row>
    <row r="230" spans="1:8">
      <c r="A230" s="121" t="s">
        <v>274</v>
      </c>
      <c r="B230" s="121">
        <v>101</v>
      </c>
      <c r="C230" s="122" t="s">
        <v>275</v>
      </c>
      <c r="D230" s="129">
        <v>0</v>
      </c>
      <c r="E230" s="129">
        <v>0</v>
      </c>
      <c r="F230" s="168">
        <v>0</v>
      </c>
      <c r="G230" s="23"/>
      <c r="H230" s="294"/>
    </row>
    <row r="231" spans="1:8">
      <c r="A231" s="121" t="s">
        <v>276</v>
      </c>
      <c r="B231" s="121">
        <v>105</v>
      </c>
      <c r="C231" s="122" t="s">
        <v>545</v>
      </c>
      <c r="D231" s="129">
        <v>0</v>
      </c>
      <c r="E231" s="129">
        <v>0</v>
      </c>
      <c r="F231" s="168">
        <v>0</v>
      </c>
      <c r="G231" s="23"/>
      <c r="H231" s="294"/>
    </row>
    <row r="232" spans="1:8">
      <c r="A232" s="121" t="s">
        <v>546</v>
      </c>
      <c r="B232" s="121">
        <v>189</v>
      </c>
      <c r="C232" s="122" t="s">
        <v>579</v>
      </c>
      <c r="D232" s="129">
        <v>38315.21</v>
      </c>
      <c r="E232" s="129">
        <v>37499.68</v>
      </c>
      <c r="F232" s="168">
        <v>75814.89</v>
      </c>
      <c r="G232" s="23"/>
      <c r="H232" s="294"/>
    </row>
    <row r="233" spans="1:8">
      <c r="A233" s="121" t="s">
        <v>547</v>
      </c>
      <c r="B233" s="121">
        <v>113</v>
      </c>
      <c r="C233" s="122" t="s">
        <v>548</v>
      </c>
      <c r="D233" s="129">
        <v>0</v>
      </c>
      <c r="E233" s="129">
        <v>0</v>
      </c>
      <c r="F233" s="168">
        <v>0</v>
      </c>
      <c r="G233" s="23"/>
      <c r="H233" s="294"/>
    </row>
    <row r="234" spans="1:8">
      <c r="A234" s="121" t="s">
        <v>587</v>
      </c>
      <c r="B234" s="121">
        <v>112</v>
      </c>
      <c r="C234" s="122" t="s">
        <v>1032</v>
      </c>
      <c r="D234" s="129">
        <v>0</v>
      </c>
      <c r="E234" s="129">
        <v>0</v>
      </c>
      <c r="F234" s="168">
        <v>0</v>
      </c>
      <c r="G234" s="23"/>
      <c r="H234" s="294"/>
    </row>
    <row r="235" spans="1:8">
      <c r="A235" s="121" t="s">
        <v>837</v>
      </c>
      <c r="B235" s="121">
        <v>112</v>
      </c>
      <c r="C235" s="122" t="s">
        <v>1033</v>
      </c>
      <c r="D235" s="129">
        <v>0</v>
      </c>
      <c r="E235" s="129">
        <v>0</v>
      </c>
      <c r="F235" s="168">
        <v>0</v>
      </c>
      <c r="G235" s="23"/>
      <c r="H235" s="294"/>
    </row>
    <row r="236" spans="1:8">
      <c r="A236" s="121" t="s">
        <v>549</v>
      </c>
      <c r="B236" s="121">
        <v>121</v>
      </c>
      <c r="C236" s="122" t="s">
        <v>550</v>
      </c>
      <c r="D236" s="129">
        <v>14015961.91</v>
      </c>
      <c r="E236" s="129">
        <v>2638.07</v>
      </c>
      <c r="F236" s="168">
        <v>14018599.98</v>
      </c>
      <c r="G236" s="23"/>
      <c r="H236" s="294"/>
    </row>
    <row r="237" spans="1:8">
      <c r="A237" s="121" t="s">
        <v>551</v>
      </c>
      <c r="B237" s="121">
        <v>189</v>
      </c>
      <c r="C237" s="122" t="s">
        <v>552</v>
      </c>
      <c r="D237" s="129">
        <v>414492.67</v>
      </c>
      <c r="E237" s="129">
        <v>14107.9</v>
      </c>
      <c r="F237" s="168">
        <v>428600.57</v>
      </c>
      <c r="G237" s="23"/>
      <c r="H237" s="294"/>
    </row>
    <row r="238" spans="1:8">
      <c r="A238" s="121" t="s">
        <v>553</v>
      </c>
      <c r="B238" s="121">
        <v>105</v>
      </c>
      <c r="C238" s="122" t="s">
        <v>554</v>
      </c>
      <c r="D238" s="129">
        <v>41965.98</v>
      </c>
      <c r="E238" s="129">
        <v>27392.3</v>
      </c>
      <c r="F238" s="168">
        <v>69358.28</v>
      </c>
      <c r="G238" s="23"/>
      <c r="H238" s="294"/>
    </row>
    <row r="239" spans="1:8">
      <c r="A239" s="121" t="s">
        <v>555</v>
      </c>
      <c r="B239" s="121">
        <v>101</v>
      </c>
      <c r="C239" s="122" t="s">
        <v>556</v>
      </c>
      <c r="D239" s="129">
        <v>0</v>
      </c>
      <c r="E239" s="129">
        <v>0</v>
      </c>
      <c r="F239" s="168">
        <v>0</v>
      </c>
      <c r="G239" s="23"/>
      <c r="H239" s="294"/>
    </row>
    <row r="240" spans="1:8">
      <c r="A240" s="121" t="s">
        <v>557</v>
      </c>
      <c r="B240" s="121">
        <v>114</v>
      </c>
      <c r="C240" s="122" t="s">
        <v>558</v>
      </c>
      <c r="D240" s="129">
        <v>30431.23</v>
      </c>
      <c r="E240" s="129">
        <v>2634.45</v>
      </c>
      <c r="F240" s="168">
        <v>33065.68</v>
      </c>
      <c r="G240" s="23"/>
      <c r="H240" s="294"/>
    </row>
    <row r="241" spans="1:8">
      <c r="A241" s="121" t="s">
        <v>559</v>
      </c>
      <c r="B241" s="121">
        <v>189</v>
      </c>
      <c r="C241" s="122" t="s">
        <v>560</v>
      </c>
      <c r="D241" s="129">
        <v>0</v>
      </c>
      <c r="E241" s="129">
        <v>0</v>
      </c>
      <c r="F241" s="168">
        <v>0</v>
      </c>
      <c r="G241" s="23"/>
      <c r="H241" s="294"/>
    </row>
    <row r="242" spans="1:8">
      <c r="A242" s="121" t="s">
        <v>561</v>
      </c>
      <c r="B242" s="121">
        <v>113</v>
      </c>
      <c r="C242" s="122" t="s">
        <v>562</v>
      </c>
      <c r="D242" s="129">
        <v>226020.56</v>
      </c>
      <c r="E242" s="129">
        <v>43047.11</v>
      </c>
      <c r="F242" s="168">
        <v>269067.67</v>
      </c>
      <c r="G242" s="23"/>
      <c r="H242" s="294"/>
    </row>
    <row r="243" spans="1:8">
      <c r="A243" s="121" t="s">
        <v>563</v>
      </c>
      <c r="B243" s="121">
        <v>121</v>
      </c>
      <c r="C243" s="122" t="s">
        <v>564</v>
      </c>
      <c r="D243" s="129">
        <v>2451609.6000000001</v>
      </c>
      <c r="E243" s="129">
        <v>139728.57</v>
      </c>
      <c r="F243" s="168">
        <v>2591338.17</v>
      </c>
      <c r="G243" s="23"/>
      <c r="H243" s="294"/>
    </row>
    <row r="244" spans="1:8">
      <c r="A244" s="121" t="s">
        <v>565</v>
      </c>
      <c r="B244" s="121">
        <v>112</v>
      </c>
      <c r="C244" s="122" t="s">
        <v>76</v>
      </c>
      <c r="D244" s="129">
        <v>0</v>
      </c>
      <c r="E244" s="129">
        <v>0</v>
      </c>
      <c r="F244" s="168">
        <v>0</v>
      </c>
      <c r="G244" s="23"/>
      <c r="H244" s="294"/>
    </row>
    <row r="245" spans="1:8">
      <c r="A245" s="121" t="s">
        <v>77</v>
      </c>
      <c r="B245" s="121">
        <v>121</v>
      </c>
      <c r="C245" s="122" t="s">
        <v>78</v>
      </c>
      <c r="D245" s="129">
        <v>12460.03</v>
      </c>
      <c r="E245" s="129">
        <v>0</v>
      </c>
      <c r="F245" s="168">
        <v>12460.03</v>
      </c>
      <c r="G245" s="23"/>
      <c r="H245" s="294"/>
    </row>
    <row r="246" spans="1:8">
      <c r="A246" s="121" t="s">
        <v>79</v>
      </c>
      <c r="B246" s="121">
        <v>189</v>
      </c>
      <c r="C246" s="122" t="s">
        <v>80</v>
      </c>
      <c r="D246" s="129">
        <v>1962171.19</v>
      </c>
      <c r="E246" s="129">
        <v>0</v>
      </c>
      <c r="F246" s="168">
        <v>1962171.19</v>
      </c>
      <c r="G246" s="23"/>
      <c r="H246" s="294"/>
    </row>
    <row r="247" spans="1:8">
      <c r="A247" s="121" t="s">
        <v>81</v>
      </c>
      <c r="B247" s="121">
        <v>121</v>
      </c>
      <c r="C247" s="122" t="s">
        <v>82</v>
      </c>
      <c r="D247" s="129">
        <v>1014154.44</v>
      </c>
      <c r="E247" s="129">
        <v>0</v>
      </c>
      <c r="F247" s="168">
        <v>1014154.44</v>
      </c>
      <c r="G247" s="23"/>
      <c r="H247" s="294"/>
    </row>
    <row r="248" spans="1:8">
      <c r="A248" s="121" t="s">
        <v>83</v>
      </c>
      <c r="B248" s="121">
        <v>171</v>
      </c>
      <c r="C248" s="122" t="s">
        <v>84</v>
      </c>
      <c r="D248" s="129">
        <v>32102.400000000001</v>
      </c>
      <c r="E248" s="129">
        <v>0</v>
      </c>
      <c r="F248" s="168">
        <v>32102.400000000001</v>
      </c>
      <c r="G248" s="23"/>
      <c r="H248" s="294"/>
    </row>
    <row r="249" spans="1:8">
      <c r="A249" s="121" t="s">
        <v>932</v>
      </c>
      <c r="B249" s="121">
        <v>121</v>
      </c>
      <c r="C249" s="122" t="s">
        <v>1034</v>
      </c>
      <c r="D249" s="129">
        <v>0</v>
      </c>
      <c r="E249" s="129">
        <v>0</v>
      </c>
      <c r="F249" s="168">
        <v>0</v>
      </c>
      <c r="G249" s="23"/>
      <c r="H249" s="294"/>
    </row>
    <row r="250" spans="1:8">
      <c r="A250" s="121" t="s">
        <v>85</v>
      </c>
      <c r="B250" s="121">
        <v>113</v>
      </c>
      <c r="C250" s="122" t="s">
        <v>86</v>
      </c>
      <c r="D250" s="129">
        <v>4712.45</v>
      </c>
      <c r="E250" s="129">
        <v>0</v>
      </c>
      <c r="F250" s="168">
        <v>4712.45</v>
      </c>
      <c r="G250" s="23"/>
      <c r="H250" s="294"/>
    </row>
    <row r="251" spans="1:8">
      <c r="A251" s="121" t="s">
        <v>567</v>
      </c>
      <c r="B251" s="121">
        <v>114</v>
      </c>
      <c r="C251" s="122" t="s">
        <v>568</v>
      </c>
      <c r="D251" s="129">
        <v>274188.28999999998</v>
      </c>
      <c r="E251" s="129">
        <v>3275.89</v>
      </c>
      <c r="F251" s="168">
        <v>277464.18</v>
      </c>
      <c r="G251" s="23"/>
      <c r="H251" s="294"/>
    </row>
    <row r="252" spans="1:8">
      <c r="A252" s="121" t="s">
        <v>569</v>
      </c>
      <c r="B252" s="121">
        <v>189</v>
      </c>
      <c r="C252" s="122" t="s">
        <v>570</v>
      </c>
      <c r="D252" s="129">
        <v>126265.34</v>
      </c>
      <c r="E252" s="129">
        <v>0</v>
      </c>
      <c r="F252" s="168">
        <v>126265.34</v>
      </c>
      <c r="G252" s="23"/>
      <c r="H252" s="294"/>
    </row>
    <row r="253" spans="1:8">
      <c r="A253" s="121" t="s">
        <v>571</v>
      </c>
      <c r="B253" s="121">
        <v>113</v>
      </c>
      <c r="C253" s="122" t="s">
        <v>572</v>
      </c>
      <c r="D253" s="129">
        <v>0</v>
      </c>
      <c r="E253" s="129">
        <v>0</v>
      </c>
      <c r="F253" s="168">
        <v>0</v>
      </c>
      <c r="G253" s="23"/>
      <c r="H253" s="294"/>
    </row>
    <row r="254" spans="1:8">
      <c r="A254" s="121" t="s">
        <v>573</v>
      </c>
      <c r="B254" s="121">
        <v>101</v>
      </c>
      <c r="C254" s="122" t="s">
        <v>540</v>
      </c>
      <c r="D254" s="129">
        <v>2556170.65</v>
      </c>
      <c r="E254" s="129">
        <v>535457.4</v>
      </c>
      <c r="F254" s="168">
        <v>3091628.05</v>
      </c>
      <c r="G254" s="23"/>
      <c r="H254" s="294"/>
    </row>
    <row r="255" spans="1:8">
      <c r="A255" s="121" t="s">
        <v>937</v>
      </c>
      <c r="B255" s="121" t="s">
        <v>966</v>
      </c>
      <c r="C255" s="122" t="s">
        <v>1035</v>
      </c>
      <c r="D255" s="129">
        <v>0</v>
      </c>
      <c r="E255" s="129">
        <v>0</v>
      </c>
      <c r="F255" s="168">
        <v>0</v>
      </c>
      <c r="G255" s="23"/>
      <c r="H255" s="294"/>
    </row>
    <row r="256" spans="1:8">
      <c r="A256" s="121" t="s">
        <v>541</v>
      </c>
      <c r="B256" s="121" t="s">
        <v>966</v>
      </c>
      <c r="C256" s="122" t="s">
        <v>542</v>
      </c>
      <c r="D256" s="129">
        <v>0</v>
      </c>
      <c r="E256" s="129">
        <v>0</v>
      </c>
      <c r="F256" s="168">
        <v>0</v>
      </c>
      <c r="G256" s="23"/>
      <c r="H256" s="294"/>
    </row>
    <row r="257" spans="1:8">
      <c r="A257" s="121" t="s">
        <v>543</v>
      </c>
      <c r="B257" s="121">
        <v>101</v>
      </c>
      <c r="C257" s="122" t="s">
        <v>544</v>
      </c>
      <c r="D257" s="129">
        <v>2598.91</v>
      </c>
      <c r="E257" s="129">
        <v>0</v>
      </c>
      <c r="F257" s="168">
        <v>2598.91</v>
      </c>
      <c r="G257" s="23"/>
      <c r="H257" s="294"/>
    </row>
    <row r="258" spans="1:8">
      <c r="A258" s="121" t="s">
        <v>57</v>
      </c>
      <c r="B258" s="121">
        <v>189</v>
      </c>
      <c r="C258" s="122" t="s">
        <v>1036</v>
      </c>
      <c r="D258" s="129">
        <v>760043.52000000002</v>
      </c>
      <c r="E258" s="129">
        <v>0</v>
      </c>
      <c r="F258" s="168">
        <v>760043.52000000002</v>
      </c>
      <c r="G258" s="23"/>
      <c r="H258" s="294"/>
    </row>
    <row r="259" spans="1:8">
      <c r="A259" s="121" t="s">
        <v>59</v>
      </c>
      <c r="B259" s="121" t="s">
        <v>968</v>
      </c>
      <c r="C259" s="122" t="s">
        <v>60</v>
      </c>
      <c r="D259" s="129">
        <v>0</v>
      </c>
      <c r="E259" s="129">
        <v>0</v>
      </c>
      <c r="F259" s="168">
        <v>0</v>
      </c>
      <c r="G259" s="23"/>
      <c r="H259" s="294"/>
    </row>
    <row r="260" spans="1:8">
      <c r="A260" s="121" t="s">
        <v>61</v>
      </c>
      <c r="B260" s="121">
        <v>123</v>
      </c>
      <c r="C260" s="122" t="s">
        <v>62</v>
      </c>
      <c r="D260" s="129">
        <v>0</v>
      </c>
      <c r="E260" s="129">
        <v>0</v>
      </c>
      <c r="F260" s="168">
        <v>0</v>
      </c>
      <c r="G260" s="23"/>
      <c r="H260" s="294"/>
    </row>
    <row r="261" spans="1:8">
      <c r="A261" s="121" t="s">
        <v>63</v>
      </c>
      <c r="B261" s="121">
        <v>171</v>
      </c>
      <c r="C261" s="122" t="s">
        <v>64</v>
      </c>
      <c r="D261" s="129">
        <v>0</v>
      </c>
      <c r="E261" s="129">
        <v>0</v>
      </c>
      <c r="F261" s="168">
        <v>0</v>
      </c>
      <c r="G261" s="23"/>
      <c r="H261" s="294"/>
    </row>
    <row r="262" spans="1:8">
      <c r="A262" s="121" t="s">
        <v>65</v>
      </c>
      <c r="B262" s="121">
        <v>121</v>
      </c>
      <c r="C262" s="122" t="s">
        <v>578</v>
      </c>
      <c r="D262" s="129">
        <v>482369.13</v>
      </c>
      <c r="E262" s="129">
        <v>0</v>
      </c>
      <c r="F262" s="168">
        <v>482369.13</v>
      </c>
      <c r="G262" s="23"/>
      <c r="H262" s="294"/>
    </row>
    <row r="263" spans="1:8">
      <c r="A263" s="121" t="s">
        <v>66</v>
      </c>
      <c r="B263" s="121">
        <v>101</v>
      </c>
      <c r="C263" s="122" t="s">
        <v>4</v>
      </c>
      <c r="D263" s="129">
        <v>0</v>
      </c>
      <c r="E263" s="129">
        <v>0</v>
      </c>
      <c r="F263" s="168">
        <v>0</v>
      </c>
      <c r="G263" s="23"/>
      <c r="H263" s="294"/>
    </row>
    <row r="264" spans="1:8">
      <c r="A264" s="121" t="s">
        <v>5</v>
      </c>
      <c r="B264" s="121">
        <v>112</v>
      </c>
      <c r="C264" s="122" t="s">
        <v>6</v>
      </c>
      <c r="D264" s="129">
        <v>0</v>
      </c>
      <c r="E264" s="129">
        <v>0</v>
      </c>
      <c r="F264" s="168">
        <v>0</v>
      </c>
      <c r="G264" s="23"/>
      <c r="H264" s="294"/>
    </row>
    <row r="265" spans="1:8">
      <c r="A265" s="121" t="s">
        <v>7</v>
      </c>
      <c r="B265" s="121">
        <v>189</v>
      </c>
      <c r="C265" s="122" t="s">
        <v>8</v>
      </c>
      <c r="D265" s="129">
        <v>94867.05</v>
      </c>
      <c r="E265" s="129">
        <v>88792.57</v>
      </c>
      <c r="F265" s="168">
        <v>183659.62</v>
      </c>
      <c r="G265" s="23"/>
      <c r="H265" s="294"/>
    </row>
    <row r="266" spans="1:8">
      <c r="A266" s="121" t="s">
        <v>954</v>
      </c>
      <c r="B266" s="121">
        <v>121</v>
      </c>
      <c r="C266" s="122" t="s">
        <v>1037</v>
      </c>
      <c r="D266" s="129">
        <v>0</v>
      </c>
      <c r="E266" s="129">
        <v>57303.3</v>
      </c>
      <c r="F266" s="168">
        <v>57303.3</v>
      </c>
      <c r="G266" s="23"/>
      <c r="H266" s="294"/>
    </row>
    <row r="267" spans="1:8">
      <c r="A267" s="121" t="s">
        <v>934</v>
      </c>
      <c r="B267" s="121">
        <v>121</v>
      </c>
      <c r="C267" s="122" t="s">
        <v>1038</v>
      </c>
      <c r="D267" s="129">
        <v>0</v>
      </c>
      <c r="E267" s="129">
        <v>61618.5</v>
      </c>
      <c r="F267" s="168">
        <v>61618.5</v>
      </c>
      <c r="G267" s="23"/>
      <c r="H267" s="294"/>
    </row>
    <row r="268" spans="1:8">
      <c r="A268" s="121" t="s">
        <v>933</v>
      </c>
      <c r="B268" s="121">
        <v>121</v>
      </c>
      <c r="C268" s="122" t="s">
        <v>1039</v>
      </c>
      <c r="D268" s="129">
        <v>0</v>
      </c>
      <c r="E268" s="129">
        <v>50943.24</v>
      </c>
      <c r="F268" s="168">
        <v>50943.24</v>
      </c>
      <c r="G268" s="23"/>
      <c r="H268" s="294"/>
    </row>
    <row r="269" spans="1:8">
      <c r="A269" s="121" t="s">
        <v>9</v>
      </c>
      <c r="B269" s="121">
        <v>101</v>
      </c>
      <c r="C269" s="122" t="s">
        <v>10</v>
      </c>
      <c r="D269" s="129">
        <v>3072</v>
      </c>
      <c r="E269" s="129">
        <v>0</v>
      </c>
      <c r="F269" s="168">
        <v>3072</v>
      </c>
      <c r="G269" s="23"/>
      <c r="H269" s="294"/>
    </row>
    <row r="270" spans="1:8">
      <c r="A270" s="121" t="s">
        <v>246</v>
      </c>
      <c r="B270" s="121">
        <v>121</v>
      </c>
      <c r="C270" s="122" t="s">
        <v>247</v>
      </c>
      <c r="D270" s="129">
        <v>1665153.02</v>
      </c>
      <c r="E270" s="129">
        <v>938.03</v>
      </c>
      <c r="F270" s="168">
        <v>1666091.05</v>
      </c>
      <c r="G270" s="23"/>
      <c r="H270" s="294"/>
    </row>
    <row r="271" spans="1:8">
      <c r="A271" s="121" t="s">
        <v>248</v>
      </c>
      <c r="B271" s="121">
        <v>105</v>
      </c>
      <c r="C271" s="122" t="s">
        <v>249</v>
      </c>
      <c r="D271" s="129">
        <v>460759.45</v>
      </c>
      <c r="E271" s="129">
        <v>0</v>
      </c>
      <c r="F271" s="168">
        <v>460759.45</v>
      </c>
      <c r="G271" s="23"/>
      <c r="H271" s="294"/>
    </row>
    <row r="272" spans="1:8">
      <c r="A272" s="121" t="s">
        <v>881</v>
      </c>
      <c r="B272" s="121">
        <v>114</v>
      </c>
      <c r="C272" s="122" t="s">
        <v>1040</v>
      </c>
      <c r="D272" s="129">
        <v>0</v>
      </c>
      <c r="E272" s="129">
        <v>0</v>
      </c>
      <c r="F272" s="168">
        <v>0</v>
      </c>
      <c r="G272" s="23"/>
      <c r="H272" s="294"/>
    </row>
    <row r="273" spans="1:8">
      <c r="A273" s="121" t="s">
        <v>250</v>
      </c>
      <c r="B273" s="121" t="s">
        <v>969</v>
      </c>
      <c r="C273" s="122" t="s">
        <v>251</v>
      </c>
      <c r="D273" s="129">
        <v>2475418.83</v>
      </c>
      <c r="E273" s="129">
        <v>0</v>
      </c>
      <c r="F273" s="168">
        <v>2475418.83</v>
      </c>
      <c r="G273" s="23"/>
      <c r="H273" s="294"/>
    </row>
    <row r="274" spans="1:8">
      <c r="A274" s="121" t="s">
        <v>252</v>
      </c>
      <c r="B274" s="121" t="s">
        <v>965</v>
      </c>
      <c r="C274" s="122" t="s">
        <v>253</v>
      </c>
      <c r="D274" s="129">
        <v>0</v>
      </c>
      <c r="E274" s="129">
        <v>0</v>
      </c>
      <c r="F274" s="168">
        <v>0</v>
      </c>
      <c r="G274" s="23"/>
      <c r="H274" s="294"/>
    </row>
    <row r="275" spans="1:8">
      <c r="A275" s="121" t="s">
        <v>254</v>
      </c>
      <c r="B275" s="121" t="s">
        <v>969</v>
      </c>
      <c r="C275" s="122" t="s">
        <v>255</v>
      </c>
      <c r="D275" s="129">
        <v>1160062.1599999999</v>
      </c>
      <c r="E275" s="129">
        <v>23617.25</v>
      </c>
      <c r="F275" s="168">
        <v>1183679.4099999999</v>
      </c>
      <c r="G275" s="23"/>
      <c r="H275" s="294"/>
    </row>
    <row r="276" spans="1:8">
      <c r="A276" s="121" t="s">
        <v>256</v>
      </c>
      <c r="B276" s="121" t="s">
        <v>966</v>
      </c>
      <c r="C276" s="122" t="s">
        <v>257</v>
      </c>
      <c r="D276" s="129">
        <v>4826.7299999999996</v>
      </c>
      <c r="E276" s="129">
        <v>0</v>
      </c>
      <c r="F276" s="168">
        <v>4826.7299999999996</v>
      </c>
      <c r="G276" s="23"/>
      <c r="H276" s="294"/>
    </row>
    <row r="277" spans="1:8">
      <c r="A277" s="121" t="s">
        <v>258</v>
      </c>
      <c r="B277" s="121" t="s">
        <v>965</v>
      </c>
      <c r="C277" s="122" t="s">
        <v>259</v>
      </c>
      <c r="D277" s="129">
        <v>51298.71</v>
      </c>
      <c r="E277" s="129">
        <v>495.54</v>
      </c>
      <c r="F277" s="168">
        <v>51794.25</v>
      </c>
      <c r="G277" s="23"/>
      <c r="H277" s="294"/>
    </row>
    <row r="278" spans="1:8">
      <c r="A278" s="121" t="s">
        <v>260</v>
      </c>
      <c r="B278" s="121" t="s">
        <v>971</v>
      </c>
      <c r="C278" s="122" t="s">
        <v>261</v>
      </c>
      <c r="D278" s="129">
        <v>0</v>
      </c>
      <c r="E278" s="129">
        <v>0</v>
      </c>
      <c r="F278" s="168">
        <v>0</v>
      </c>
      <c r="G278" s="23"/>
      <c r="H278" s="294"/>
    </row>
    <row r="279" spans="1:8">
      <c r="A279" s="121" t="s">
        <v>262</v>
      </c>
      <c r="B279" s="121" t="s">
        <v>965</v>
      </c>
      <c r="C279" s="122" t="s">
        <v>263</v>
      </c>
      <c r="D279" s="129">
        <v>12060.67</v>
      </c>
      <c r="E279" s="129">
        <v>0</v>
      </c>
      <c r="F279" s="168">
        <v>12060.67</v>
      </c>
      <c r="G279" s="23"/>
      <c r="H279" s="294"/>
    </row>
    <row r="280" spans="1:8">
      <c r="A280" s="121" t="s">
        <v>264</v>
      </c>
      <c r="B280" s="121" t="s">
        <v>973</v>
      </c>
      <c r="C280" s="122" t="s">
        <v>265</v>
      </c>
      <c r="D280" s="129">
        <v>15836.77</v>
      </c>
      <c r="E280" s="129">
        <v>33593.21</v>
      </c>
      <c r="F280" s="168">
        <v>49429.979999999996</v>
      </c>
      <c r="G280" s="23"/>
      <c r="H280" s="294"/>
    </row>
    <row r="281" spans="1:8">
      <c r="A281" s="121" t="s">
        <v>266</v>
      </c>
      <c r="B281" s="121" t="s">
        <v>971</v>
      </c>
      <c r="C281" s="122" t="s">
        <v>267</v>
      </c>
      <c r="D281" s="129">
        <v>408725.91</v>
      </c>
      <c r="E281" s="129">
        <v>49237.17</v>
      </c>
      <c r="F281" s="168">
        <v>457963.07999999996</v>
      </c>
      <c r="G281" s="23"/>
      <c r="H281" s="294"/>
    </row>
    <row r="282" spans="1:8">
      <c r="A282" s="121" t="s">
        <v>268</v>
      </c>
      <c r="B282" s="121" t="s">
        <v>968</v>
      </c>
      <c r="C282" s="122" t="s">
        <v>184</v>
      </c>
      <c r="D282" s="129">
        <v>0</v>
      </c>
      <c r="E282" s="129">
        <v>0</v>
      </c>
      <c r="F282" s="168">
        <v>0</v>
      </c>
      <c r="G282" s="23"/>
      <c r="H282" s="294"/>
    </row>
    <row r="283" spans="1:8">
      <c r="A283" s="121" t="s">
        <v>185</v>
      </c>
      <c r="B283" s="121" t="s">
        <v>970</v>
      </c>
      <c r="C283" s="122" t="s">
        <v>186</v>
      </c>
      <c r="D283" s="129">
        <v>0</v>
      </c>
      <c r="E283" s="129">
        <v>0</v>
      </c>
      <c r="F283" s="168">
        <v>0</v>
      </c>
      <c r="G283" s="23"/>
      <c r="H283" s="294"/>
    </row>
    <row r="284" spans="1:8">
      <c r="A284" s="121" t="s">
        <v>187</v>
      </c>
      <c r="B284" s="121" t="s">
        <v>970</v>
      </c>
      <c r="C284" s="122" t="s">
        <v>188</v>
      </c>
      <c r="D284" s="129">
        <v>0</v>
      </c>
      <c r="E284" s="129">
        <v>0</v>
      </c>
      <c r="F284" s="168">
        <v>0</v>
      </c>
      <c r="G284" s="23"/>
      <c r="H284" s="294"/>
    </row>
    <row r="285" spans="1:8">
      <c r="A285" s="121" t="s">
        <v>566</v>
      </c>
      <c r="B285" s="121" t="s">
        <v>969</v>
      </c>
      <c r="C285" s="122" t="s">
        <v>451</v>
      </c>
      <c r="D285" s="129">
        <v>295049.63</v>
      </c>
      <c r="E285" s="129">
        <v>0</v>
      </c>
      <c r="F285" s="168">
        <v>295049.63</v>
      </c>
      <c r="G285" s="23"/>
      <c r="H285" s="294"/>
    </row>
    <row r="286" spans="1:8">
      <c r="A286" s="121" t="s">
        <v>189</v>
      </c>
      <c r="B286" s="121" t="s">
        <v>965</v>
      </c>
      <c r="C286" s="122" t="s">
        <v>190</v>
      </c>
      <c r="D286" s="129">
        <v>634364.31000000006</v>
      </c>
      <c r="E286" s="129">
        <v>0</v>
      </c>
      <c r="F286" s="168">
        <v>634364.31000000006</v>
      </c>
      <c r="G286" s="23"/>
      <c r="H286" s="294"/>
    </row>
    <row r="287" spans="1:8">
      <c r="A287" s="121" t="s">
        <v>191</v>
      </c>
      <c r="B287" s="121" t="s">
        <v>971</v>
      </c>
      <c r="C287" s="122" t="s">
        <v>192</v>
      </c>
      <c r="D287" s="129">
        <v>31329.48</v>
      </c>
      <c r="E287" s="129">
        <v>0</v>
      </c>
      <c r="F287" s="168">
        <v>31329.48</v>
      </c>
      <c r="G287" s="23"/>
      <c r="H287" s="294"/>
    </row>
    <row r="288" spans="1:8">
      <c r="A288" s="121" t="s">
        <v>193</v>
      </c>
      <c r="B288" s="121" t="s">
        <v>969</v>
      </c>
      <c r="C288" s="122" t="s">
        <v>277</v>
      </c>
      <c r="D288" s="129">
        <v>689321.16</v>
      </c>
      <c r="E288" s="129">
        <v>1974.94</v>
      </c>
      <c r="F288" s="168">
        <v>691296.1</v>
      </c>
      <c r="G288" s="23"/>
      <c r="H288" s="294"/>
    </row>
    <row r="289" spans="1:8">
      <c r="A289" s="121" t="s">
        <v>278</v>
      </c>
      <c r="B289" s="121" t="s">
        <v>966</v>
      </c>
      <c r="C289" s="122" t="s">
        <v>279</v>
      </c>
      <c r="D289" s="129">
        <v>20482.87</v>
      </c>
      <c r="E289" s="129">
        <v>886.19</v>
      </c>
      <c r="F289" s="168">
        <v>21369.059999999998</v>
      </c>
      <c r="G289" s="23"/>
      <c r="H289" s="294"/>
    </row>
    <row r="290" spans="1:8">
      <c r="A290" s="121" t="s">
        <v>280</v>
      </c>
      <c r="B290" s="121" t="s">
        <v>970</v>
      </c>
      <c r="C290" s="122" t="s">
        <v>500</v>
      </c>
      <c r="D290" s="129">
        <v>2792293.17</v>
      </c>
      <c r="E290" s="129">
        <v>272825.8</v>
      </c>
      <c r="F290" s="168">
        <v>3065118.9699999997</v>
      </c>
      <c r="G290" s="23"/>
      <c r="H290" s="294"/>
    </row>
    <row r="291" spans="1:8">
      <c r="A291" s="121" t="s">
        <v>501</v>
      </c>
      <c r="B291" s="121" t="s">
        <v>969</v>
      </c>
      <c r="C291" s="122" t="s">
        <v>502</v>
      </c>
      <c r="D291" s="129">
        <v>121960.86</v>
      </c>
      <c r="E291" s="129">
        <v>33676.410000000003</v>
      </c>
      <c r="F291" s="168">
        <v>155637.27000000002</v>
      </c>
      <c r="G291" s="23"/>
      <c r="H291" s="294"/>
    </row>
    <row r="292" spans="1:8">
      <c r="A292" s="121" t="s">
        <v>957</v>
      </c>
      <c r="B292" s="121">
        <v>114</v>
      </c>
      <c r="C292" s="122" t="s">
        <v>1041</v>
      </c>
      <c r="D292" s="129">
        <v>8384.1</v>
      </c>
      <c r="E292" s="129">
        <v>0</v>
      </c>
      <c r="F292" s="168">
        <v>8384.1</v>
      </c>
      <c r="G292" s="23"/>
      <c r="H292" s="294"/>
    </row>
    <row r="293" spans="1:8">
      <c r="A293" s="121" t="s">
        <v>503</v>
      </c>
      <c r="B293" s="121" t="s">
        <v>970</v>
      </c>
      <c r="C293" s="122" t="s">
        <v>504</v>
      </c>
      <c r="D293" s="129">
        <v>0</v>
      </c>
      <c r="E293" s="129">
        <v>0</v>
      </c>
      <c r="F293" s="168">
        <v>0</v>
      </c>
      <c r="G293" s="23"/>
      <c r="H293" s="294"/>
    </row>
    <row r="294" spans="1:8">
      <c r="A294" s="121" t="s">
        <v>505</v>
      </c>
      <c r="B294" s="121">
        <v>105</v>
      </c>
      <c r="C294" s="122" t="s">
        <v>506</v>
      </c>
      <c r="D294" s="129">
        <v>135831.54999999999</v>
      </c>
      <c r="E294" s="129">
        <v>0</v>
      </c>
      <c r="F294" s="168">
        <v>135831.54999999999</v>
      </c>
      <c r="G294" s="23"/>
      <c r="H294" s="294"/>
    </row>
    <row r="295" spans="1:8">
      <c r="A295" s="121" t="s">
        <v>507</v>
      </c>
      <c r="B295" s="121">
        <v>123</v>
      </c>
      <c r="C295" s="122" t="s">
        <v>508</v>
      </c>
      <c r="D295" s="129">
        <v>0</v>
      </c>
      <c r="E295" s="129">
        <v>0</v>
      </c>
      <c r="F295" s="168">
        <v>0</v>
      </c>
      <c r="G295" s="23"/>
      <c r="H295" s="294"/>
    </row>
    <row r="296" spans="1:8">
      <c r="A296" s="121" t="s">
        <v>509</v>
      </c>
      <c r="B296" s="121">
        <v>123</v>
      </c>
      <c r="C296" s="122" t="s">
        <v>510</v>
      </c>
      <c r="D296" s="129">
        <v>137997.93</v>
      </c>
      <c r="E296" s="129">
        <v>40756.28</v>
      </c>
      <c r="F296" s="168">
        <v>178754.21</v>
      </c>
      <c r="G296" s="23"/>
      <c r="H296" s="294"/>
    </row>
    <row r="297" spans="1:8">
      <c r="A297" s="121" t="s">
        <v>511</v>
      </c>
      <c r="B297" s="121">
        <v>105</v>
      </c>
      <c r="C297" s="122" t="s">
        <v>31</v>
      </c>
      <c r="D297" s="129">
        <v>626.69000000000005</v>
      </c>
      <c r="E297" s="129">
        <v>0</v>
      </c>
      <c r="F297" s="168">
        <v>626.69000000000005</v>
      </c>
      <c r="G297" s="23"/>
      <c r="H297" s="294"/>
    </row>
    <row r="298" spans="1:8">
      <c r="A298" s="121" t="s">
        <v>32</v>
      </c>
      <c r="B298" s="121">
        <v>171</v>
      </c>
      <c r="C298" s="122" t="s">
        <v>33</v>
      </c>
      <c r="D298" s="129">
        <v>15663.51</v>
      </c>
      <c r="E298" s="129">
        <v>0</v>
      </c>
      <c r="F298" s="168">
        <v>15663.51</v>
      </c>
      <c r="G298" s="23"/>
      <c r="H298" s="294"/>
    </row>
    <row r="299" spans="1:8">
      <c r="A299" s="121" t="s">
        <v>34</v>
      </c>
      <c r="B299" s="121">
        <v>112</v>
      </c>
      <c r="C299" s="122" t="s">
        <v>35</v>
      </c>
      <c r="D299" s="129">
        <v>292294.65999999997</v>
      </c>
      <c r="E299" s="129">
        <v>0</v>
      </c>
      <c r="F299" s="168">
        <v>292294.65999999997</v>
      </c>
      <c r="G299" s="23"/>
      <c r="H299" s="294"/>
    </row>
    <row r="300" spans="1:8">
      <c r="A300" s="121" t="s">
        <v>36</v>
      </c>
      <c r="B300" s="121">
        <v>101</v>
      </c>
      <c r="C300" s="122" t="s">
        <v>519</v>
      </c>
      <c r="D300" s="129">
        <v>3821.57</v>
      </c>
      <c r="E300" s="129">
        <v>0</v>
      </c>
      <c r="F300" s="168">
        <v>3821.57</v>
      </c>
      <c r="G300" s="23"/>
      <c r="H300" s="294"/>
    </row>
    <row r="301" spans="1:8">
      <c r="A301" s="121" t="s">
        <v>520</v>
      </c>
      <c r="B301" s="121">
        <v>171</v>
      </c>
      <c r="C301" s="122" t="s">
        <v>521</v>
      </c>
      <c r="D301" s="129">
        <v>40415.230000000003</v>
      </c>
      <c r="E301" s="129">
        <v>0</v>
      </c>
      <c r="F301" s="168">
        <v>40415.230000000003</v>
      </c>
      <c r="G301" s="23"/>
      <c r="H301" s="294"/>
    </row>
    <row r="302" spans="1:8">
      <c r="A302" s="121" t="s">
        <v>522</v>
      </c>
      <c r="B302" s="121" t="s">
        <v>966</v>
      </c>
      <c r="C302" s="122" t="s">
        <v>484</v>
      </c>
      <c r="D302" s="129">
        <v>40415.230000000003</v>
      </c>
      <c r="E302" s="129">
        <v>7234.2</v>
      </c>
      <c r="F302" s="168">
        <v>47649.43</v>
      </c>
      <c r="G302" s="23"/>
      <c r="H302" s="294"/>
    </row>
    <row r="303" spans="1:8">
      <c r="A303" s="121" t="s">
        <v>485</v>
      </c>
      <c r="B303" s="121" t="s">
        <v>973</v>
      </c>
      <c r="C303" s="122" t="s">
        <v>297</v>
      </c>
      <c r="D303" s="129">
        <v>428642.3</v>
      </c>
      <c r="E303" s="129">
        <v>83293.37</v>
      </c>
      <c r="F303" s="168">
        <v>511935.67</v>
      </c>
      <c r="G303" s="23"/>
      <c r="H303" s="294"/>
    </row>
    <row r="304" spans="1:8">
      <c r="A304" s="121" t="s">
        <v>299</v>
      </c>
      <c r="B304" s="121">
        <v>105</v>
      </c>
      <c r="C304" s="122" t="s">
        <v>1042</v>
      </c>
      <c r="D304" s="129">
        <v>226847.54</v>
      </c>
      <c r="E304" s="129">
        <v>6149.07</v>
      </c>
      <c r="F304" s="168">
        <v>232996.61000000002</v>
      </c>
      <c r="G304" s="23"/>
      <c r="H304" s="294"/>
    </row>
    <row r="305" spans="1:8">
      <c r="A305" s="121" t="s">
        <v>298</v>
      </c>
      <c r="B305" s="121">
        <v>101</v>
      </c>
      <c r="C305" s="122" t="s">
        <v>1043</v>
      </c>
      <c r="D305" s="129">
        <v>81807.360000000001</v>
      </c>
      <c r="E305" s="129">
        <v>0</v>
      </c>
      <c r="F305" s="168">
        <v>81807.360000000001</v>
      </c>
      <c r="G305" s="23"/>
      <c r="H305" s="294"/>
    </row>
    <row r="306" spans="1:8">
      <c r="A306" s="121" t="s">
        <v>300</v>
      </c>
      <c r="B306" s="121">
        <v>113</v>
      </c>
      <c r="C306" s="122" t="s">
        <v>301</v>
      </c>
      <c r="D306" s="129">
        <v>3688.86</v>
      </c>
      <c r="E306" s="129">
        <v>0</v>
      </c>
      <c r="F306" s="168">
        <v>3688.86</v>
      </c>
      <c r="G306" s="23"/>
      <c r="H306" s="294"/>
    </row>
    <row r="307" spans="1:8">
      <c r="A307" s="121" t="s">
        <v>302</v>
      </c>
      <c r="B307" s="121">
        <v>121</v>
      </c>
      <c r="C307" s="122" t="s">
        <v>303</v>
      </c>
      <c r="D307" s="129">
        <v>345851.9</v>
      </c>
      <c r="E307" s="129">
        <v>2122.0300000000002</v>
      </c>
      <c r="F307" s="168">
        <v>347973.93000000005</v>
      </c>
      <c r="G307" s="23"/>
      <c r="H307" s="294"/>
    </row>
    <row r="308" spans="1:8">
      <c r="A308" s="121" t="s">
        <v>304</v>
      </c>
      <c r="B308" s="121">
        <v>112</v>
      </c>
      <c r="C308" s="122" t="s">
        <v>305</v>
      </c>
      <c r="D308" s="129">
        <v>0</v>
      </c>
      <c r="E308" s="129">
        <v>0</v>
      </c>
      <c r="F308" s="168">
        <v>0</v>
      </c>
      <c r="G308" s="23"/>
      <c r="H308" s="294"/>
    </row>
    <row r="309" spans="1:8">
      <c r="A309" s="121" t="s">
        <v>306</v>
      </c>
      <c r="B309" s="121">
        <v>101</v>
      </c>
      <c r="C309" s="122" t="s">
        <v>307</v>
      </c>
      <c r="D309" s="129">
        <v>6731.37</v>
      </c>
      <c r="E309" s="129">
        <v>6156.3</v>
      </c>
      <c r="F309" s="168">
        <v>12887.67</v>
      </c>
      <c r="G309" s="23"/>
      <c r="H309" s="294"/>
    </row>
    <row r="310" spans="1:8">
      <c r="A310" s="121" t="s">
        <v>308</v>
      </c>
      <c r="B310" s="121">
        <v>113</v>
      </c>
      <c r="C310" s="122" t="s">
        <v>309</v>
      </c>
      <c r="D310" s="129">
        <v>0</v>
      </c>
      <c r="E310" s="129">
        <v>0</v>
      </c>
      <c r="F310" s="168">
        <v>0</v>
      </c>
      <c r="G310" s="23"/>
      <c r="H310" s="294"/>
    </row>
    <row r="311" spans="1:8">
      <c r="A311" s="121" t="s">
        <v>958</v>
      </c>
      <c r="B311" s="121">
        <v>123</v>
      </c>
      <c r="C311" s="122" t="s">
        <v>1044</v>
      </c>
      <c r="D311" s="129">
        <v>0</v>
      </c>
      <c r="E311" s="129">
        <v>0</v>
      </c>
      <c r="F311" s="168">
        <v>0</v>
      </c>
      <c r="G311" s="23"/>
      <c r="H311" s="294"/>
    </row>
    <row r="312" spans="1:8">
      <c r="A312" s="121" t="s">
        <v>310</v>
      </c>
      <c r="B312" s="121">
        <v>171</v>
      </c>
      <c r="C312" s="122" t="s">
        <v>311</v>
      </c>
      <c r="D312" s="129">
        <v>31929.14</v>
      </c>
      <c r="E312" s="129">
        <v>0</v>
      </c>
      <c r="F312" s="168">
        <v>31929.14</v>
      </c>
      <c r="G312" s="23"/>
      <c r="H312" s="294"/>
    </row>
    <row r="313" spans="1:8">
      <c r="A313" s="121" t="s">
        <v>312</v>
      </c>
      <c r="B313" s="121">
        <v>113</v>
      </c>
      <c r="C313" s="122" t="s">
        <v>172</v>
      </c>
      <c r="D313" s="129">
        <v>11966.05</v>
      </c>
      <c r="E313" s="129">
        <v>0</v>
      </c>
      <c r="F313" s="168">
        <v>11966.05</v>
      </c>
      <c r="G313" s="23"/>
      <c r="H313" s="294"/>
    </row>
    <row r="314" spans="1:8">
      <c r="A314" s="121" t="s">
        <v>173</v>
      </c>
      <c r="B314" s="121">
        <v>113</v>
      </c>
      <c r="C314" s="122" t="s">
        <v>174</v>
      </c>
      <c r="D314" s="129">
        <v>1588.84</v>
      </c>
      <c r="E314" s="129">
        <v>0</v>
      </c>
      <c r="F314" s="168">
        <v>1588.84</v>
      </c>
      <c r="G314" s="23"/>
      <c r="H314" s="294"/>
    </row>
    <row r="315" spans="1:8">
      <c r="A315" s="121" t="s">
        <v>175</v>
      </c>
      <c r="B315" s="121">
        <v>112</v>
      </c>
      <c r="C315" s="122" t="s">
        <v>176</v>
      </c>
      <c r="D315" s="129">
        <v>0</v>
      </c>
      <c r="E315" s="129">
        <v>0</v>
      </c>
      <c r="F315" s="168">
        <v>0</v>
      </c>
      <c r="G315" s="23"/>
      <c r="H315" s="294"/>
    </row>
    <row r="316" spans="1:8">
      <c r="A316" s="121" t="s">
        <v>177</v>
      </c>
      <c r="B316" s="121">
        <v>112</v>
      </c>
      <c r="C316" s="122" t="s">
        <v>178</v>
      </c>
      <c r="D316" s="129">
        <v>23272.240000000002</v>
      </c>
      <c r="E316" s="129">
        <v>0</v>
      </c>
      <c r="F316" s="168">
        <v>23272.240000000002</v>
      </c>
      <c r="G316" s="23"/>
      <c r="H316" s="294"/>
    </row>
    <row r="317" spans="1:8">
      <c r="A317" s="121" t="s">
        <v>179</v>
      </c>
      <c r="B317" s="121">
        <v>105</v>
      </c>
      <c r="C317" s="122" t="s">
        <v>180</v>
      </c>
      <c r="D317" s="129">
        <v>1348520.76</v>
      </c>
      <c r="E317" s="129">
        <v>282591.96999999997</v>
      </c>
      <c r="F317" s="168">
        <v>1631112.73</v>
      </c>
      <c r="G317" s="23"/>
      <c r="H317" s="294"/>
    </row>
    <row r="318" spans="1:8">
      <c r="A318" s="123" t="s">
        <v>1045</v>
      </c>
      <c r="B318" s="121">
        <v>105</v>
      </c>
      <c r="C318" s="122" t="s">
        <v>1046</v>
      </c>
      <c r="D318" s="129">
        <v>0</v>
      </c>
      <c r="E318" s="129">
        <v>0</v>
      </c>
      <c r="F318" s="168">
        <v>0</v>
      </c>
      <c r="G318" s="23"/>
      <c r="H318" s="294"/>
    </row>
    <row r="319" spans="1:8">
      <c r="A319" s="121" t="s">
        <v>181</v>
      </c>
      <c r="B319" s="121">
        <v>113</v>
      </c>
      <c r="C319" s="122" t="s">
        <v>314</v>
      </c>
      <c r="D319" s="129">
        <v>484771.43</v>
      </c>
      <c r="E319" s="129">
        <v>28554.59</v>
      </c>
      <c r="F319" s="168">
        <v>513326.02</v>
      </c>
      <c r="G319" s="23"/>
      <c r="H319" s="294"/>
    </row>
    <row r="320" spans="1:8">
      <c r="A320" s="121" t="s">
        <v>407</v>
      </c>
      <c r="B320" s="121" t="s">
        <v>971</v>
      </c>
      <c r="C320" s="122" t="s">
        <v>408</v>
      </c>
      <c r="D320" s="129">
        <v>31985.66</v>
      </c>
      <c r="E320" s="129">
        <v>0</v>
      </c>
      <c r="F320" s="168">
        <v>31985.66</v>
      </c>
    </row>
  </sheetData>
  <autoFilter ref="A1:F319" xr:uid="{92EC4464-C52E-40FB-BD8C-980FD2B60B1B}"/>
  <mergeCells count="1">
    <mergeCell ref="H1:M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7F5A-FBFB-4DF5-886F-1A885B2F95BB}">
  <sheetPr>
    <tabColor rgb="FF92D050"/>
  </sheetPr>
  <dimension ref="A1:H295"/>
  <sheetViews>
    <sheetView workbookViewId="0">
      <selection activeCell="D326" sqref="D326"/>
    </sheetView>
  </sheetViews>
  <sheetFormatPr defaultRowHeight="16.5"/>
  <cols>
    <col min="1" max="1" width="9.140625" style="116"/>
    <col min="2" max="2" width="33.140625" style="116" bestFit="1" customWidth="1"/>
    <col min="3" max="3" width="11.140625" style="116" bestFit="1" customWidth="1"/>
    <col min="4" max="4" width="13.7109375" style="116" customWidth="1"/>
    <col min="5" max="5" width="12.7109375" style="116" customWidth="1"/>
    <col min="6" max="6" width="10.7109375" style="116" bestFit="1" customWidth="1"/>
    <col min="7" max="16384" width="9.140625" style="116"/>
  </cols>
  <sheetData>
    <row r="1" spans="1:8" ht="33">
      <c r="A1" s="124" t="s">
        <v>867</v>
      </c>
      <c r="B1" s="124" t="s">
        <v>1344</v>
      </c>
      <c r="C1" s="126" t="s">
        <v>1345</v>
      </c>
      <c r="D1" s="126" t="s">
        <v>1346</v>
      </c>
      <c r="E1" s="126" t="s">
        <v>1347</v>
      </c>
      <c r="F1" s="116" t="s">
        <v>1343</v>
      </c>
      <c r="G1" s="116" t="s">
        <v>943</v>
      </c>
      <c r="H1" s="158" t="s">
        <v>1565</v>
      </c>
    </row>
    <row r="2" spans="1:8">
      <c r="A2" s="116" t="s">
        <v>941</v>
      </c>
      <c r="B2" s="116" t="s">
        <v>869</v>
      </c>
      <c r="C2" s="125">
        <v>117</v>
      </c>
      <c r="D2" s="125">
        <v>1253</v>
      </c>
      <c r="E2" s="125">
        <v>475</v>
      </c>
      <c r="F2" s="116">
        <f>C2+D2+E2</f>
        <v>1845</v>
      </c>
      <c r="H2" s="116" t="s">
        <v>1566</v>
      </c>
    </row>
    <row r="3" spans="1:8">
      <c r="A3" s="116" t="s">
        <v>36</v>
      </c>
      <c r="B3" s="116" t="s">
        <v>1053</v>
      </c>
      <c r="C3" s="125">
        <v>1</v>
      </c>
      <c r="D3" s="125">
        <v>11</v>
      </c>
      <c r="E3" s="125">
        <v>0</v>
      </c>
      <c r="F3" s="116">
        <f t="shared" ref="F3:F66" si="0">C3+D3+E3</f>
        <v>12</v>
      </c>
      <c r="H3" s="116" t="s">
        <v>1774</v>
      </c>
    </row>
    <row r="4" spans="1:8">
      <c r="A4" s="116" t="s">
        <v>199</v>
      </c>
      <c r="B4" s="116" t="s">
        <v>1054</v>
      </c>
      <c r="C4" s="125">
        <v>0</v>
      </c>
      <c r="D4" s="125">
        <v>0</v>
      </c>
      <c r="E4" s="125">
        <v>0</v>
      </c>
      <c r="F4" s="116">
        <f t="shared" si="0"/>
        <v>0</v>
      </c>
      <c r="H4" s="158" t="s">
        <v>1777</v>
      </c>
    </row>
    <row r="5" spans="1:8">
      <c r="A5" s="116" t="s">
        <v>167</v>
      </c>
      <c r="B5" s="116" t="s">
        <v>1055</v>
      </c>
      <c r="C5" s="125">
        <v>60</v>
      </c>
      <c r="D5" s="125">
        <v>371</v>
      </c>
      <c r="E5" s="125">
        <v>195</v>
      </c>
      <c r="F5" s="116">
        <f t="shared" si="0"/>
        <v>626</v>
      </c>
    </row>
    <row r="6" spans="1:8">
      <c r="A6" s="116" t="s">
        <v>464</v>
      </c>
      <c r="B6" s="116" t="s">
        <v>1056</v>
      </c>
      <c r="C6" s="125">
        <v>3</v>
      </c>
      <c r="D6" s="125">
        <v>25</v>
      </c>
      <c r="E6" s="125">
        <v>2</v>
      </c>
      <c r="F6" s="116">
        <f t="shared" si="0"/>
        <v>30</v>
      </c>
    </row>
    <row r="7" spans="1:8">
      <c r="A7" s="116" t="s">
        <v>378</v>
      </c>
      <c r="B7" s="116" t="s">
        <v>1057</v>
      </c>
      <c r="C7" s="125">
        <v>2</v>
      </c>
      <c r="D7" s="125">
        <v>20</v>
      </c>
      <c r="E7" s="125">
        <v>4</v>
      </c>
      <c r="F7" s="116">
        <f t="shared" si="0"/>
        <v>26</v>
      </c>
    </row>
    <row r="8" spans="1:8">
      <c r="A8" s="116" t="s">
        <v>21</v>
      </c>
      <c r="B8" s="116" t="s">
        <v>1058</v>
      </c>
      <c r="C8" s="125">
        <v>40</v>
      </c>
      <c r="D8" s="125">
        <v>270</v>
      </c>
      <c r="E8" s="125">
        <v>155</v>
      </c>
      <c r="F8" s="116">
        <f t="shared" si="0"/>
        <v>465</v>
      </c>
    </row>
    <row r="9" spans="1:8">
      <c r="A9" s="116" t="s">
        <v>473</v>
      </c>
      <c r="B9" s="116" t="s">
        <v>1059</v>
      </c>
      <c r="C9" s="125">
        <v>6</v>
      </c>
      <c r="D9" s="125">
        <v>38</v>
      </c>
      <c r="E9" s="125">
        <v>36</v>
      </c>
      <c r="F9" s="116">
        <f t="shared" si="0"/>
        <v>80</v>
      </c>
    </row>
    <row r="10" spans="1:8">
      <c r="A10" s="116" t="s">
        <v>458</v>
      </c>
      <c r="B10" s="116" t="s">
        <v>1060</v>
      </c>
      <c r="C10" s="125">
        <v>205</v>
      </c>
      <c r="D10" s="125">
        <v>1080</v>
      </c>
      <c r="E10" s="125">
        <v>1115</v>
      </c>
      <c r="F10" s="116">
        <f t="shared" si="0"/>
        <v>2400</v>
      </c>
    </row>
    <row r="11" spans="1:8">
      <c r="A11" s="116" t="s">
        <v>391</v>
      </c>
      <c r="B11" s="116" t="s">
        <v>1061</v>
      </c>
      <c r="C11" s="125">
        <v>3</v>
      </c>
      <c r="D11" s="125">
        <v>19</v>
      </c>
      <c r="E11" s="125">
        <v>0</v>
      </c>
      <c r="F11" s="116">
        <f t="shared" si="0"/>
        <v>22</v>
      </c>
    </row>
    <row r="12" spans="1:8">
      <c r="A12" s="116" t="s">
        <v>481</v>
      </c>
      <c r="B12" s="116" t="s">
        <v>1062</v>
      </c>
      <c r="C12" s="125">
        <v>9</v>
      </c>
      <c r="D12" s="125">
        <v>130</v>
      </c>
      <c r="E12" s="125">
        <v>49</v>
      </c>
      <c r="F12" s="116">
        <f t="shared" si="0"/>
        <v>188</v>
      </c>
    </row>
    <row r="13" spans="1:8">
      <c r="A13" s="116" t="s">
        <v>424</v>
      </c>
      <c r="B13" s="116" t="s">
        <v>1063</v>
      </c>
      <c r="C13" s="125">
        <v>10</v>
      </c>
      <c r="D13" s="125">
        <v>48</v>
      </c>
      <c r="E13" s="125">
        <v>52</v>
      </c>
      <c r="F13" s="116">
        <f t="shared" si="0"/>
        <v>110</v>
      </c>
    </row>
    <row r="14" spans="1:8">
      <c r="A14" s="116" t="s">
        <v>348</v>
      </c>
      <c r="B14" s="116" t="s">
        <v>1064</v>
      </c>
      <c r="C14" s="125">
        <v>13</v>
      </c>
      <c r="D14" s="125">
        <v>142</v>
      </c>
      <c r="E14" s="125">
        <v>185</v>
      </c>
      <c r="F14" s="116">
        <f t="shared" si="0"/>
        <v>340</v>
      </c>
    </row>
    <row r="15" spans="1:8">
      <c r="A15" s="116" t="s">
        <v>374</v>
      </c>
      <c r="B15" s="116" t="s">
        <v>1065</v>
      </c>
      <c r="C15" s="125">
        <v>165</v>
      </c>
      <c r="D15" s="125">
        <v>1110</v>
      </c>
      <c r="E15" s="125">
        <v>625</v>
      </c>
      <c r="F15" s="116">
        <f t="shared" si="0"/>
        <v>1900</v>
      </c>
    </row>
    <row r="16" spans="1:8">
      <c r="A16" s="116" t="s">
        <v>494</v>
      </c>
      <c r="B16" s="116" t="s">
        <v>1066</v>
      </c>
      <c r="C16" s="125">
        <v>5</v>
      </c>
      <c r="D16" s="125">
        <v>60</v>
      </c>
      <c r="E16" s="125">
        <v>14</v>
      </c>
      <c r="F16" s="116">
        <f t="shared" si="0"/>
        <v>79</v>
      </c>
    </row>
    <row r="17" spans="1:6">
      <c r="A17" s="116" t="s">
        <v>63</v>
      </c>
      <c r="B17" s="116" t="s">
        <v>1067</v>
      </c>
      <c r="C17" s="125">
        <v>0</v>
      </c>
      <c r="D17" s="125">
        <v>0</v>
      </c>
      <c r="E17" s="125">
        <v>0</v>
      </c>
      <c r="F17" s="116">
        <f t="shared" si="0"/>
        <v>0</v>
      </c>
    </row>
    <row r="18" spans="1:6">
      <c r="A18" s="116" t="s">
        <v>413</v>
      </c>
      <c r="B18" s="116" t="s">
        <v>1068</v>
      </c>
      <c r="C18" s="125">
        <v>4</v>
      </c>
      <c r="D18" s="125">
        <v>25</v>
      </c>
      <c r="E18" s="125">
        <v>5</v>
      </c>
      <c r="F18" s="116">
        <f t="shared" si="0"/>
        <v>34</v>
      </c>
    </row>
    <row r="19" spans="1:6">
      <c r="A19" s="116" t="s">
        <v>124</v>
      </c>
      <c r="B19" s="116" t="s">
        <v>1069</v>
      </c>
      <c r="C19" s="125">
        <v>5</v>
      </c>
      <c r="D19" s="125">
        <v>110</v>
      </c>
      <c r="E19" s="125">
        <v>19.5</v>
      </c>
      <c r="F19" s="116">
        <f t="shared" si="0"/>
        <v>134.5</v>
      </c>
    </row>
    <row r="20" spans="1:6">
      <c r="A20" s="116" t="s">
        <v>153</v>
      </c>
      <c r="B20" s="116" t="s">
        <v>1070</v>
      </c>
      <c r="C20" s="125">
        <v>15</v>
      </c>
      <c r="D20" s="125">
        <v>157</v>
      </c>
      <c r="E20" s="125">
        <v>25</v>
      </c>
      <c r="F20" s="116">
        <f t="shared" si="0"/>
        <v>197</v>
      </c>
    </row>
    <row r="21" spans="1:6">
      <c r="A21" s="116" t="s">
        <v>151</v>
      </c>
      <c r="B21" s="116" t="s">
        <v>1071</v>
      </c>
      <c r="C21" s="125">
        <v>5</v>
      </c>
      <c r="D21" s="125">
        <v>55</v>
      </c>
      <c r="E21" s="125">
        <v>55</v>
      </c>
      <c r="F21" s="116">
        <f t="shared" si="0"/>
        <v>115</v>
      </c>
    </row>
    <row r="22" spans="1:6">
      <c r="A22" s="116" t="s">
        <v>485</v>
      </c>
      <c r="B22" s="116" t="s">
        <v>1072</v>
      </c>
      <c r="C22" s="125">
        <v>86</v>
      </c>
      <c r="D22" s="125">
        <v>755</v>
      </c>
      <c r="E22" s="125">
        <v>192</v>
      </c>
      <c r="F22" s="116">
        <f t="shared" si="0"/>
        <v>1033</v>
      </c>
    </row>
    <row r="23" spans="1:6">
      <c r="A23" s="116" t="s">
        <v>1515</v>
      </c>
      <c r="B23" s="116" t="s">
        <v>1567</v>
      </c>
      <c r="C23" s="125">
        <v>0</v>
      </c>
      <c r="D23" s="125">
        <v>24.1</v>
      </c>
      <c r="E23" s="125">
        <v>0</v>
      </c>
      <c r="F23" s="116">
        <f t="shared" si="0"/>
        <v>24.1</v>
      </c>
    </row>
    <row r="24" spans="1:6">
      <c r="A24" s="116" t="s">
        <v>401</v>
      </c>
      <c r="B24" s="116" t="s">
        <v>1073</v>
      </c>
      <c r="C24" s="125">
        <v>22</v>
      </c>
      <c r="D24" s="125">
        <v>396</v>
      </c>
      <c r="E24" s="125">
        <v>153</v>
      </c>
      <c r="F24" s="116">
        <f t="shared" si="0"/>
        <v>571</v>
      </c>
    </row>
    <row r="25" spans="1:6">
      <c r="A25" s="116" t="s">
        <v>12</v>
      </c>
      <c r="B25" s="116" t="s">
        <v>1074</v>
      </c>
      <c r="C25" s="125">
        <v>0</v>
      </c>
      <c r="D25" s="125">
        <v>23</v>
      </c>
      <c r="E25" s="125">
        <v>6</v>
      </c>
      <c r="F25" s="116">
        <f t="shared" si="0"/>
        <v>29</v>
      </c>
    </row>
    <row r="26" spans="1:6">
      <c r="A26" s="116" t="s">
        <v>557</v>
      </c>
      <c r="B26" s="116" t="s">
        <v>1075</v>
      </c>
      <c r="C26" s="125">
        <v>33</v>
      </c>
      <c r="D26" s="125">
        <v>345</v>
      </c>
      <c r="E26" s="125">
        <v>49</v>
      </c>
      <c r="F26" s="116">
        <f t="shared" si="0"/>
        <v>427</v>
      </c>
    </row>
    <row r="27" spans="1:6">
      <c r="A27" s="116" t="s">
        <v>536</v>
      </c>
      <c r="B27" s="116" t="s">
        <v>1076</v>
      </c>
      <c r="C27" s="125">
        <v>2</v>
      </c>
      <c r="D27" s="125">
        <v>50</v>
      </c>
      <c r="E27" s="125">
        <v>18</v>
      </c>
      <c r="F27" s="116">
        <f t="shared" si="0"/>
        <v>70</v>
      </c>
    </row>
    <row r="28" spans="1:6">
      <c r="A28" s="116" t="s">
        <v>243</v>
      </c>
      <c r="B28" s="116" t="s">
        <v>1077</v>
      </c>
      <c r="C28" s="125">
        <v>10</v>
      </c>
      <c r="D28" s="125">
        <v>633</v>
      </c>
      <c r="E28" s="125">
        <v>74</v>
      </c>
      <c r="F28" s="116">
        <f t="shared" si="0"/>
        <v>717</v>
      </c>
    </row>
    <row r="29" spans="1:6">
      <c r="A29" s="116" t="s">
        <v>940</v>
      </c>
      <c r="B29" s="116" t="s">
        <v>1078</v>
      </c>
      <c r="C29" s="125">
        <v>0</v>
      </c>
      <c r="D29" s="125">
        <v>27</v>
      </c>
      <c r="E29" s="125">
        <v>0</v>
      </c>
      <c r="F29" s="116">
        <f t="shared" si="0"/>
        <v>27</v>
      </c>
    </row>
    <row r="30" spans="1:6">
      <c r="A30" s="116" t="s">
        <v>280</v>
      </c>
      <c r="B30" s="116" t="s">
        <v>1079</v>
      </c>
      <c r="C30" s="125">
        <v>275</v>
      </c>
      <c r="D30" s="125">
        <v>1828</v>
      </c>
      <c r="E30" s="125">
        <v>1073</v>
      </c>
      <c r="F30" s="116">
        <f t="shared" si="0"/>
        <v>3176</v>
      </c>
    </row>
    <row r="31" spans="1:6">
      <c r="A31" s="116" t="s">
        <v>334</v>
      </c>
      <c r="B31" s="116" t="s">
        <v>1080</v>
      </c>
      <c r="C31" s="125">
        <v>8</v>
      </c>
      <c r="D31" s="125">
        <v>116</v>
      </c>
      <c r="E31" s="125">
        <v>94</v>
      </c>
      <c r="F31" s="116">
        <f t="shared" si="0"/>
        <v>218</v>
      </c>
    </row>
    <row r="32" spans="1:6">
      <c r="A32" s="116" t="s">
        <v>121</v>
      </c>
      <c r="B32" s="116" t="s">
        <v>1081</v>
      </c>
      <c r="C32" s="125">
        <v>9.5</v>
      </c>
      <c r="D32" s="125">
        <v>108.5</v>
      </c>
      <c r="E32" s="125">
        <v>112.75</v>
      </c>
      <c r="F32" s="116">
        <f t="shared" si="0"/>
        <v>230.75</v>
      </c>
    </row>
    <row r="33" spans="1:6">
      <c r="A33" s="116" t="s">
        <v>34</v>
      </c>
      <c r="B33" s="116" t="s">
        <v>1082</v>
      </c>
      <c r="C33" s="125">
        <v>40</v>
      </c>
      <c r="D33" s="125">
        <v>320</v>
      </c>
      <c r="E33" s="125">
        <v>125</v>
      </c>
      <c r="F33" s="116">
        <f t="shared" si="0"/>
        <v>485</v>
      </c>
    </row>
    <row r="34" spans="1:6">
      <c r="A34" s="116" t="s">
        <v>515</v>
      </c>
      <c r="B34" s="116" t="s">
        <v>1083</v>
      </c>
      <c r="C34" s="125">
        <v>253</v>
      </c>
      <c r="D34" s="125">
        <v>2508</v>
      </c>
      <c r="E34" s="125">
        <v>707</v>
      </c>
      <c r="F34" s="116">
        <f t="shared" si="0"/>
        <v>3468</v>
      </c>
    </row>
    <row r="35" spans="1:6">
      <c r="A35" s="116" t="s">
        <v>534</v>
      </c>
      <c r="B35" s="116" t="s">
        <v>1084</v>
      </c>
      <c r="C35" s="125">
        <v>51</v>
      </c>
      <c r="D35" s="125">
        <v>550</v>
      </c>
      <c r="E35" s="125">
        <v>185</v>
      </c>
      <c r="F35" s="116">
        <f t="shared" si="0"/>
        <v>786</v>
      </c>
    </row>
    <row r="36" spans="1:6">
      <c r="A36" s="116" t="s">
        <v>477</v>
      </c>
      <c r="B36" s="116" t="s">
        <v>1085</v>
      </c>
      <c r="C36" s="125">
        <v>95</v>
      </c>
      <c r="D36" s="125">
        <v>1008</v>
      </c>
      <c r="E36" s="125">
        <v>555</v>
      </c>
      <c r="F36" s="116">
        <f t="shared" si="0"/>
        <v>1658</v>
      </c>
    </row>
    <row r="37" spans="1:6">
      <c r="A37" s="116" t="s">
        <v>376</v>
      </c>
      <c r="B37" s="116" t="s">
        <v>1086</v>
      </c>
      <c r="C37" s="125">
        <v>37</v>
      </c>
      <c r="D37" s="125">
        <v>315</v>
      </c>
      <c r="E37" s="125">
        <v>110</v>
      </c>
      <c r="F37" s="116">
        <f t="shared" si="0"/>
        <v>462</v>
      </c>
    </row>
    <row r="38" spans="1:6">
      <c r="A38" s="116" t="s">
        <v>61</v>
      </c>
      <c r="B38" s="116" t="s">
        <v>1087</v>
      </c>
      <c r="C38" s="125">
        <v>0</v>
      </c>
      <c r="D38" s="125">
        <v>56</v>
      </c>
      <c r="E38" s="125">
        <v>32</v>
      </c>
      <c r="F38" s="116">
        <f t="shared" si="0"/>
        <v>88</v>
      </c>
    </row>
    <row r="39" spans="1:6">
      <c r="A39" s="116" t="s">
        <v>466</v>
      </c>
      <c r="B39" s="116" t="s">
        <v>1088</v>
      </c>
      <c r="C39" s="125">
        <v>130</v>
      </c>
      <c r="D39" s="125">
        <v>541</v>
      </c>
      <c r="E39" s="125">
        <v>481</v>
      </c>
      <c r="F39" s="116">
        <f t="shared" si="0"/>
        <v>1152</v>
      </c>
    </row>
    <row r="40" spans="1:6">
      <c r="A40" s="116" t="s">
        <v>155</v>
      </c>
      <c r="B40" s="116" t="s">
        <v>1089</v>
      </c>
      <c r="C40" s="125">
        <v>16</v>
      </c>
      <c r="D40" s="125">
        <v>145</v>
      </c>
      <c r="E40" s="125">
        <v>80</v>
      </c>
      <c r="F40" s="116">
        <f t="shared" si="0"/>
        <v>241</v>
      </c>
    </row>
    <row r="41" spans="1:6">
      <c r="A41" s="116" t="s">
        <v>177</v>
      </c>
      <c r="B41" s="116" t="s">
        <v>1090</v>
      </c>
      <c r="C41" s="125">
        <v>25</v>
      </c>
      <c r="D41" s="125">
        <v>188</v>
      </c>
      <c r="E41" s="125">
        <v>140</v>
      </c>
      <c r="F41" s="116">
        <f t="shared" si="0"/>
        <v>353</v>
      </c>
    </row>
    <row r="42" spans="1:6">
      <c r="A42" s="116" t="s">
        <v>456</v>
      </c>
      <c r="B42" s="116" t="s">
        <v>1091</v>
      </c>
      <c r="C42" s="125">
        <v>42</v>
      </c>
      <c r="D42" s="125">
        <v>360</v>
      </c>
      <c r="E42" s="125">
        <v>327</v>
      </c>
      <c r="F42" s="116">
        <f t="shared" si="0"/>
        <v>729</v>
      </c>
    </row>
    <row r="43" spans="1:6">
      <c r="A43" s="116" t="s">
        <v>528</v>
      </c>
      <c r="B43" s="116" t="s">
        <v>1092</v>
      </c>
      <c r="C43" s="125">
        <v>11</v>
      </c>
      <c r="D43" s="125">
        <v>50</v>
      </c>
      <c r="E43" s="125">
        <v>15</v>
      </c>
      <c r="F43" s="116">
        <f t="shared" si="0"/>
        <v>76</v>
      </c>
    </row>
    <row r="44" spans="1:6">
      <c r="A44" s="116" t="s">
        <v>169</v>
      </c>
      <c r="B44" s="116" t="s">
        <v>1093</v>
      </c>
      <c r="C44" s="125">
        <v>0</v>
      </c>
      <c r="D44" s="125">
        <v>3</v>
      </c>
      <c r="E44" s="125">
        <v>0</v>
      </c>
      <c r="F44" s="116">
        <f t="shared" si="0"/>
        <v>3</v>
      </c>
    </row>
    <row r="45" spans="1:6">
      <c r="A45" s="116" t="s">
        <v>232</v>
      </c>
      <c r="B45" s="116" t="s">
        <v>1094</v>
      </c>
      <c r="C45" s="125">
        <v>60</v>
      </c>
      <c r="D45" s="125">
        <v>460</v>
      </c>
      <c r="E45" s="125">
        <v>200</v>
      </c>
      <c r="F45" s="116">
        <f t="shared" si="0"/>
        <v>720</v>
      </c>
    </row>
    <row r="46" spans="1:6">
      <c r="A46" s="116" t="s">
        <v>492</v>
      </c>
      <c r="B46" s="116" t="s">
        <v>1095</v>
      </c>
      <c r="C46" s="125">
        <v>0</v>
      </c>
      <c r="D46" s="125">
        <v>8</v>
      </c>
      <c r="E46" s="125">
        <v>3</v>
      </c>
      <c r="F46" s="116">
        <f t="shared" si="0"/>
        <v>11</v>
      </c>
    </row>
    <row r="47" spans="1:6">
      <c r="A47" s="116" t="s">
        <v>454</v>
      </c>
      <c r="B47" s="116" t="s">
        <v>1096</v>
      </c>
      <c r="C47" s="125">
        <v>0</v>
      </c>
      <c r="D47" s="125">
        <v>3</v>
      </c>
      <c r="E47" s="125">
        <v>0</v>
      </c>
      <c r="F47" s="116">
        <f t="shared" si="0"/>
        <v>3</v>
      </c>
    </row>
    <row r="48" spans="1:6">
      <c r="A48" s="116" t="s">
        <v>402</v>
      </c>
      <c r="B48" s="116" t="s">
        <v>1097</v>
      </c>
      <c r="C48" s="125">
        <v>1</v>
      </c>
      <c r="D48" s="125">
        <v>20</v>
      </c>
      <c r="E48" s="125">
        <v>1</v>
      </c>
      <c r="F48" s="116">
        <f t="shared" si="0"/>
        <v>22</v>
      </c>
    </row>
    <row r="49" spans="1:6">
      <c r="A49" s="116" t="s">
        <v>159</v>
      </c>
      <c r="B49" s="116" t="s">
        <v>1098</v>
      </c>
      <c r="C49" s="125">
        <v>0</v>
      </c>
      <c r="D49" s="125">
        <v>4</v>
      </c>
      <c r="E49" s="125">
        <v>0</v>
      </c>
      <c r="F49" s="116">
        <f t="shared" si="0"/>
        <v>4</v>
      </c>
    </row>
    <row r="50" spans="1:6">
      <c r="A50" s="116" t="s">
        <v>340</v>
      </c>
      <c r="B50" s="116" t="s">
        <v>1099</v>
      </c>
      <c r="C50" s="125">
        <v>0</v>
      </c>
      <c r="D50" s="125">
        <v>20</v>
      </c>
      <c r="E50" s="125">
        <v>5</v>
      </c>
      <c r="F50" s="116">
        <f t="shared" si="0"/>
        <v>25</v>
      </c>
    </row>
    <row r="51" spans="1:6">
      <c r="A51" s="116" t="s">
        <v>372</v>
      </c>
      <c r="B51" s="116" t="s">
        <v>1100</v>
      </c>
      <c r="C51" s="125">
        <v>3</v>
      </c>
      <c r="D51" s="125">
        <v>47</v>
      </c>
      <c r="E51" s="125">
        <v>14</v>
      </c>
      <c r="F51" s="116">
        <f t="shared" si="0"/>
        <v>64</v>
      </c>
    </row>
    <row r="52" spans="1:6">
      <c r="A52" s="116" t="s">
        <v>2</v>
      </c>
      <c r="B52" s="116" t="s">
        <v>1101</v>
      </c>
      <c r="C52" s="125">
        <v>174</v>
      </c>
      <c r="D52" s="125">
        <v>1213</v>
      </c>
      <c r="E52" s="125">
        <v>1067</v>
      </c>
      <c r="F52" s="116">
        <f t="shared" si="0"/>
        <v>2454</v>
      </c>
    </row>
    <row r="53" spans="1:6">
      <c r="A53" s="116" t="s">
        <v>216</v>
      </c>
      <c r="B53" s="116" t="s">
        <v>1102</v>
      </c>
      <c r="C53" s="125">
        <v>27</v>
      </c>
      <c r="D53" s="125">
        <v>158</v>
      </c>
      <c r="E53" s="125">
        <v>130</v>
      </c>
      <c r="F53" s="116">
        <f t="shared" si="0"/>
        <v>315</v>
      </c>
    </row>
    <row r="54" spans="1:6">
      <c r="A54" s="116" t="s">
        <v>59</v>
      </c>
      <c r="B54" s="116" t="s">
        <v>1103</v>
      </c>
      <c r="C54" s="125">
        <v>0</v>
      </c>
      <c r="D54" s="125">
        <v>0</v>
      </c>
      <c r="E54" s="125">
        <v>0</v>
      </c>
      <c r="F54" s="116">
        <f t="shared" si="0"/>
        <v>0</v>
      </c>
    </row>
    <row r="55" spans="1:6">
      <c r="A55" s="116" t="s">
        <v>399</v>
      </c>
      <c r="B55" s="116" t="s">
        <v>1104</v>
      </c>
      <c r="C55" s="125">
        <v>6</v>
      </c>
      <c r="D55" s="125">
        <v>17</v>
      </c>
      <c r="E55" s="125">
        <v>30</v>
      </c>
      <c r="F55" s="116">
        <f t="shared" si="0"/>
        <v>53</v>
      </c>
    </row>
    <row r="56" spans="1:6">
      <c r="A56" s="116" t="s">
        <v>505</v>
      </c>
      <c r="B56" s="116" t="s">
        <v>1105</v>
      </c>
      <c r="C56" s="125">
        <v>20</v>
      </c>
      <c r="D56" s="125">
        <v>145</v>
      </c>
      <c r="E56" s="125">
        <v>130</v>
      </c>
      <c r="F56" s="116">
        <f t="shared" si="0"/>
        <v>295</v>
      </c>
    </row>
    <row r="57" spans="1:6">
      <c r="A57" s="116" t="s">
        <v>362</v>
      </c>
      <c r="B57" s="116" t="s">
        <v>1106</v>
      </c>
      <c r="C57" s="125">
        <v>13.71</v>
      </c>
      <c r="D57" s="125">
        <v>334.29</v>
      </c>
      <c r="E57" s="125">
        <v>92.43</v>
      </c>
      <c r="F57" s="116">
        <f t="shared" si="0"/>
        <v>440.43</v>
      </c>
    </row>
    <row r="58" spans="1:6">
      <c r="A58" s="116" t="s">
        <v>32</v>
      </c>
      <c r="B58" s="116" t="s">
        <v>1107</v>
      </c>
      <c r="C58" s="125">
        <v>6</v>
      </c>
      <c r="D58" s="125">
        <v>36</v>
      </c>
      <c r="E58" s="125">
        <v>84</v>
      </c>
      <c r="F58" s="116">
        <f t="shared" si="0"/>
        <v>126</v>
      </c>
    </row>
    <row r="59" spans="1:6">
      <c r="A59" s="116" t="s">
        <v>142</v>
      </c>
      <c r="B59" s="116" t="s">
        <v>1108</v>
      </c>
      <c r="C59" s="125">
        <v>1</v>
      </c>
      <c r="D59" s="125">
        <v>9</v>
      </c>
      <c r="E59" s="125">
        <v>13</v>
      </c>
      <c r="F59" s="116">
        <f t="shared" si="0"/>
        <v>23</v>
      </c>
    </row>
    <row r="60" spans="1:6">
      <c r="A60" s="116" t="s">
        <v>83</v>
      </c>
      <c r="B60" s="116" t="s">
        <v>1109</v>
      </c>
      <c r="C60" s="125">
        <v>3</v>
      </c>
      <c r="D60" s="125">
        <v>75</v>
      </c>
      <c r="E60" s="125">
        <v>25</v>
      </c>
      <c r="F60" s="116">
        <f t="shared" si="0"/>
        <v>103</v>
      </c>
    </row>
    <row r="61" spans="1:6">
      <c r="A61" s="116" t="s">
        <v>276</v>
      </c>
      <c r="B61" s="116" t="s">
        <v>1110</v>
      </c>
      <c r="C61" s="125">
        <v>13</v>
      </c>
      <c r="D61" s="125">
        <v>140</v>
      </c>
      <c r="E61" s="125">
        <v>92</v>
      </c>
      <c r="F61" s="116">
        <f t="shared" si="0"/>
        <v>245</v>
      </c>
    </row>
    <row r="62" spans="1:6">
      <c r="A62" s="116" t="s">
        <v>205</v>
      </c>
      <c r="B62" s="116" t="s">
        <v>1111</v>
      </c>
      <c r="C62" s="125">
        <v>135</v>
      </c>
      <c r="D62" s="125">
        <v>695</v>
      </c>
      <c r="E62" s="125">
        <v>407</v>
      </c>
      <c r="F62" s="116">
        <f t="shared" si="0"/>
        <v>1237</v>
      </c>
    </row>
    <row r="63" spans="1:6">
      <c r="A63" s="116" t="s">
        <v>417</v>
      </c>
      <c r="B63" s="116" t="s">
        <v>1112</v>
      </c>
      <c r="C63" s="125">
        <v>30</v>
      </c>
      <c r="D63" s="125">
        <v>228</v>
      </c>
      <c r="E63" s="125">
        <v>86</v>
      </c>
      <c r="F63" s="116">
        <f t="shared" si="0"/>
        <v>344</v>
      </c>
    </row>
    <row r="64" spans="1:6">
      <c r="A64" s="116" t="s">
        <v>310</v>
      </c>
      <c r="B64" s="116" t="s">
        <v>1113</v>
      </c>
      <c r="C64" s="125">
        <v>0</v>
      </c>
      <c r="D64" s="125">
        <v>17</v>
      </c>
      <c r="E64" s="125">
        <v>2</v>
      </c>
      <c r="F64" s="116">
        <f t="shared" si="0"/>
        <v>19</v>
      </c>
    </row>
    <row r="65" spans="1:6">
      <c r="A65" s="116" t="s">
        <v>436</v>
      </c>
      <c r="B65" s="116" t="s">
        <v>1114</v>
      </c>
      <c r="C65" s="125">
        <v>6</v>
      </c>
      <c r="D65" s="125">
        <v>65</v>
      </c>
      <c r="E65" s="125">
        <v>35</v>
      </c>
      <c r="F65" s="116">
        <f t="shared" si="0"/>
        <v>106</v>
      </c>
    </row>
    <row r="66" spans="1:6">
      <c r="A66" s="116" t="s">
        <v>51</v>
      </c>
      <c r="B66" s="116" t="s">
        <v>1115</v>
      </c>
      <c r="C66" s="125">
        <v>45</v>
      </c>
      <c r="D66" s="125">
        <v>299</v>
      </c>
      <c r="E66" s="125">
        <v>210</v>
      </c>
      <c r="F66" s="116">
        <f t="shared" si="0"/>
        <v>554</v>
      </c>
    </row>
    <row r="67" spans="1:6">
      <c r="A67" s="116" t="s">
        <v>338</v>
      </c>
      <c r="B67" s="116" t="s">
        <v>1116</v>
      </c>
      <c r="C67" s="125">
        <v>9.7100000000000009</v>
      </c>
      <c r="D67" s="125">
        <v>185.57</v>
      </c>
      <c r="E67" s="125">
        <v>48.86</v>
      </c>
      <c r="F67" s="116">
        <f t="shared" ref="F67:F130" si="1">C67+D67+E67</f>
        <v>244.14</v>
      </c>
    </row>
    <row r="68" spans="1:6">
      <c r="A68" s="116" t="s">
        <v>214</v>
      </c>
      <c r="B68" s="116" t="s">
        <v>1117</v>
      </c>
      <c r="C68" s="125">
        <v>2</v>
      </c>
      <c r="D68" s="125">
        <v>90</v>
      </c>
      <c r="E68" s="125">
        <v>30</v>
      </c>
      <c r="F68" s="116">
        <f t="shared" si="1"/>
        <v>122</v>
      </c>
    </row>
    <row r="69" spans="1:6">
      <c r="A69" s="116" t="s">
        <v>38</v>
      </c>
      <c r="B69" s="116" t="s">
        <v>1118</v>
      </c>
      <c r="C69" s="125">
        <v>4</v>
      </c>
      <c r="D69" s="125">
        <v>51</v>
      </c>
      <c r="E69" s="125">
        <v>11</v>
      </c>
      <c r="F69" s="116">
        <f t="shared" si="1"/>
        <v>66</v>
      </c>
    </row>
    <row r="70" spans="1:6">
      <c r="A70" s="116" t="s">
        <v>73</v>
      </c>
      <c r="B70" s="116" t="s">
        <v>1119</v>
      </c>
      <c r="C70" s="125">
        <v>25</v>
      </c>
      <c r="D70" s="125">
        <v>115</v>
      </c>
      <c r="E70" s="125">
        <v>75</v>
      </c>
      <c r="F70" s="116">
        <f t="shared" si="1"/>
        <v>215</v>
      </c>
    </row>
    <row r="71" spans="1:6">
      <c r="A71" s="116" t="s">
        <v>409</v>
      </c>
      <c r="B71" s="116" t="s">
        <v>1120</v>
      </c>
      <c r="C71" s="125">
        <v>19</v>
      </c>
      <c r="D71" s="125">
        <v>114</v>
      </c>
      <c r="E71" s="125">
        <v>156</v>
      </c>
      <c r="F71" s="116">
        <f t="shared" si="1"/>
        <v>289</v>
      </c>
    </row>
    <row r="72" spans="1:6">
      <c r="A72" s="116" t="s">
        <v>252</v>
      </c>
      <c r="B72" s="116" t="s">
        <v>1121</v>
      </c>
      <c r="C72" s="125">
        <v>1</v>
      </c>
      <c r="D72" s="125">
        <v>39.43</v>
      </c>
      <c r="E72" s="125">
        <v>2.86</v>
      </c>
      <c r="F72" s="116">
        <f t="shared" si="1"/>
        <v>43.29</v>
      </c>
    </row>
    <row r="73" spans="1:6">
      <c r="A73" s="116" t="s">
        <v>140</v>
      </c>
      <c r="B73" s="116" t="s">
        <v>1122</v>
      </c>
      <c r="C73" s="125">
        <v>1</v>
      </c>
      <c r="D73" s="125">
        <v>11</v>
      </c>
      <c r="E73" s="125">
        <v>8</v>
      </c>
      <c r="F73" s="116">
        <f t="shared" si="1"/>
        <v>20</v>
      </c>
    </row>
    <row r="74" spans="1:6">
      <c r="A74" s="116" t="s">
        <v>547</v>
      </c>
      <c r="B74" s="116" t="s">
        <v>1123</v>
      </c>
      <c r="C74" s="125">
        <v>0</v>
      </c>
      <c r="D74" s="125">
        <v>12</v>
      </c>
      <c r="E74" s="125">
        <v>0</v>
      </c>
      <c r="F74" s="116">
        <f t="shared" si="1"/>
        <v>12</v>
      </c>
    </row>
    <row r="75" spans="1:6">
      <c r="A75" s="116" t="s">
        <v>173</v>
      </c>
      <c r="B75" s="116" t="s">
        <v>1124</v>
      </c>
      <c r="C75" s="125">
        <v>0</v>
      </c>
      <c r="D75" s="125">
        <v>15</v>
      </c>
      <c r="E75" s="125">
        <v>5</v>
      </c>
      <c r="F75" s="116">
        <f t="shared" si="1"/>
        <v>20</v>
      </c>
    </row>
    <row r="76" spans="1:6">
      <c r="A76" s="116" t="s">
        <v>104</v>
      </c>
      <c r="B76" s="116" t="s">
        <v>1125</v>
      </c>
      <c r="C76" s="125">
        <v>4</v>
      </c>
      <c r="D76" s="125">
        <v>55</v>
      </c>
      <c r="E76" s="125">
        <v>6</v>
      </c>
      <c r="F76" s="116">
        <f t="shared" si="1"/>
        <v>65</v>
      </c>
    </row>
    <row r="77" spans="1:6">
      <c r="A77" s="116" t="s">
        <v>328</v>
      </c>
      <c r="B77" s="116" t="s">
        <v>1126</v>
      </c>
      <c r="C77" s="125">
        <v>6</v>
      </c>
      <c r="D77" s="125">
        <v>56</v>
      </c>
      <c r="E77" s="125">
        <v>8</v>
      </c>
      <c r="F77" s="116">
        <f t="shared" si="1"/>
        <v>70</v>
      </c>
    </row>
    <row r="78" spans="1:6">
      <c r="A78" s="116" t="s">
        <v>324</v>
      </c>
      <c r="B78" s="116" t="s">
        <v>1127</v>
      </c>
      <c r="C78" s="125">
        <v>130</v>
      </c>
      <c r="D78" s="125">
        <v>500</v>
      </c>
      <c r="E78" s="125">
        <v>385</v>
      </c>
      <c r="F78" s="116">
        <f t="shared" si="1"/>
        <v>1015</v>
      </c>
    </row>
    <row r="79" spans="1:6">
      <c r="A79" s="116" t="s">
        <v>143</v>
      </c>
      <c r="B79" s="116" t="s">
        <v>1128</v>
      </c>
      <c r="C79" s="125">
        <v>11.25</v>
      </c>
      <c r="D79" s="125">
        <v>100.25</v>
      </c>
      <c r="E79" s="125">
        <v>45.5</v>
      </c>
      <c r="F79" s="116">
        <f t="shared" si="1"/>
        <v>157</v>
      </c>
    </row>
    <row r="80" spans="1:6">
      <c r="A80" s="116" t="s">
        <v>569</v>
      </c>
      <c r="B80" s="116" t="s">
        <v>1129</v>
      </c>
      <c r="C80" s="125">
        <v>6</v>
      </c>
      <c r="D80" s="125">
        <v>117</v>
      </c>
      <c r="E80" s="125">
        <v>58</v>
      </c>
      <c r="F80" s="116">
        <f t="shared" si="1"/>
        <v>181</v>
      </c>
    </row>
    <row r="81" spans="1:6">
      <c r="A81" s="116" t="s">
        <v>354</v>
      </c>
      <c r="B81" s="116" t="s">
        <v>1130</v>
      </c>
      <c r="C81" s="125">
        <v>1</v>
      </c>
      <c r="D81" s="125">
        <v>0</v>
      </c>
      <c r="E81" s="125">
        <v>9</v>
      </c>
      <c r="F81" s="116">
        <f t="shared" si="1"/>
        <v>10</v>
      </c>
    </row>
    <row r="82" spans="1:6">
      <c r="A82" s="116" t="s">
        <v>530</v>
      </c>
      <c r="B82" s="116" t="s">
        <v>1131</v>
      </c>
      <c r="C82" s="125">
        <v>0</v>
      </c>
      <c r="D82" s="125">
        <v>0</v>
      </c>
      <c r="E82" s="125">
        <v>7</v>
      </c>
      <c r="F82" s="116">
        <f t="shared" si="1"/>
        <v>7</v>
      </c>
    </row>
    <row r="83" spans="1:6">
      <c r="A83" s="116" t="s">
        <v>67</v>
      </c>
      <c r="B83" s="116" t="s">
        <v>1132</v>
      </c>
      <c r="C83" s="125">
        <v>1</v>
      </c>
      <c r="D83" s="125">
        <v>62</v>
      </c>
      <c r="E83" s="125">
        <v>3</v>
      </c>
      <c r="F83" s="116">
        <f t="shared" si="1"/>
        <v>66</v>
      </c>
    </row>
    <row r="84" spans="1:6">
      <c r="A84" s="116" t="s">
        <v>19</v>
      </c>
      <c r="B84" s="116" t="s">
        <v>1133</v>
      </c>
      <c r="C84" s="125">
        <v>10</v>
      </c>
      <c r="D84" s="125">
        <v>72</v>
      </c>
      <c r="E84" s="125">
        <v>32</v>
      </c>
      <c r="F84" s="116">
        <f t="shared" si="1"/>
        <v>114</v>
      </c>
    </row>
    <row r="85" spans="1:6">
      <c r="A85" s="116" t="s">
        <v>384</v>
      </c>
      <c r="B85" s="116" t="s">
        <v>1134</v>
      </c>
      <c r="C85" s="125">
        <v>9</v>
      </c>
      <c r="D85" s="125">
        <v>104</v>
      </c>
      <c r="E85" s="125">
        <v>39</v>
      </c>
      <c r="F85" s="116">
        <f t="shared" si="1"/>
        <v>152</v>
      </c>
    </row>
    <row r="86" spans="1:6">
      <c r="A86" s="116" t="s">
        <v>549</v>
      </c>
      <c r="B86" s="116" t="s">
        <v>1135</v>
      </c>
      <c r="C86" s="125">
        <v>387</v>
      </c>
      <c r="D86" s="125">
        <v>4555</v>
      </c>
      <c r="E86" s="125">
        <v>2150.3200000000002</v>
      </c>
      <c r="F86" s="116">
        <f t="shared" si="1"/>
        <v>7092.32</v>
      </c>
    </row>
    <row r="87" spans="1:6">
      <c r="A87" s="116" t="s">
        <v>517</v>
      </c>
      <c r="B87" s="116" t="s">
        <v>1136</v>
      </c>
      <c r="C87" s="125">
        <v>270</v>
      </c>
      <c r="D87" s="125">
        <v>1340</v>
      </c>
      <c r="E87" s="125">
        <v>1360</v>
      </c>
      <c r="F87" s="116">
        <f t="shared" si="1"/>
        <v>2970</v>
      </c>
    </row>
    <row r="88" spans="1:6">
      <c r="A88" s="116" t="s">
        <v>415</v>
      </c>
      <c r="B88" s="116" t="s">
        <v>1137</v>
      </c>
      <c r="C88" s="125">
        <v>60</v>
      </c>
      <c r="D88" s="125">
        <v>370</v>
      </c>
      <c r="E88" s="125">
        <v>300</v>
      </c>
      <c r="F88" s="116">
        <f t="shared" si="1"/>
        <v>730</v>
      </c>
    </row>
    <row r="89" spans="1:6">
      <c r="A89" s="116" t="s">
        <v>43</v>
      </c>
      <c r="B89" s="116" t="s">
        <v>1138</v>
      </c>
      <c r="C89" s="125">
        <v>18</v>
      </c>
      <c r="D89" s="125">
        <v>295</v>
      </c>
      <c r="E89" s="125">
        <v>115</v>
      </c>
      <c r="F89" s="116">
        <f t="shared" si="1"/>
        <v>428</v>
      </c>
    </row>
    <row r="90" spans="1:6">
      <c r="A90" s="116" t="s">
        <v>332</v>
      </c>
      <c r="B90" s="116" t="s">
        <v>1139</v>
      </c>
      <c r="C90" s="125">
        <v>172</v>
      </c>
      <c r="D90" s="125">
        <v>1766</v>
      </c>
      <c r="E90" s="125">
        <v>739</v>
      </c>
      <c r="F90" s="116">
        <f t="shared" si="1"/>
        <v>2677</v>
      </c>
    </row>
    <row r="91" spans="1:6">
      <c r="A91" s="116" t="s">
        <v>501</v>
      </c>
      <c r="B91" s="116" t="s">
        <v>1140</v>
      </c>
      <c r="C91" s="125">
        <v>17</v>
      </c>
      <c r="D91" s="125">
        <v>123</v>
      </c>
      <c r="E91" s="125">
        <v>38</v>
      </c>
      <c r="F91" s="116">
        <f t="shared" si="1"/>
        <v>178</v>
      </c>
    </row>
    <row r="92" spans="1:6">
      <c r="A92" s="116" t="s">
        <v>370</v>
      </c>
      <c r="B92" s="116" t="s">
        <v>1141</v>
      </c>
      <c r="C92" s="125">
        <v>194</v>
      </c>
      <c r="D92" s="125">
        <v>1013.56</v>
      </c>
      <c r="E92" s="125">
        <v>1008.14</v>
      </c>
      <c r="F92" s="116">
        <f t="shared" si="1"/>
        <v>2215.6999999999998</v>
      </c>
    </row>
    <row r="93" spans="1:6">
      <c r="A93" s="116" t="s">
        <v>77</v>
      </c>
      <c r="B93" s="116" t="s">
        <v>1142</v>
      </c>
      <c r="C93" s="125">
        <v>0</v>
      </c>
      <c r="D93" s="125">
        <v>12.33</v>
      </c>
      <c r="E93" s="125">
        <v>0</v>
      </c>
      <c r="F93" s="116">
        <f t="shared" si="1"/>
        <v>12.33</v>
      </c>
    </row>
    <row r="94" spans="1:6">
      <c r="A94" s="116" t="s">
        <v>195</v>
      </c>
      <c r="B94" s="116" t="s">
        <v>1143</v>
      </c>
      <c r="C94" s="125">
        <v>130.43</v>
      </c>
      <c r="D94" s="125">
        <v>1089.29</v>
      </c>
      <c r="E94" s="125">
        <v>537</v>
      </c>
      <c r="F94" s="116">
        <f t="shared" si="1"/>
        <v>1756.72</v>
      </c>
    </row>
    <row r="95" spans="1:6">
      <c r="A95" s="116" t="s">
        <v>566</v>
      </c>
      <c r="B95" s="116" t="s">
        <v>1144</v>
      </c>
      <c r="C95" s="125">
        <v>26</v>
      </c>
      <c r="D95" s="125">
        <v>180</v>
      </c>
      <c r="E95" s="125">
        <v>145</v>
      </c>
      <c r="F95" s="116">
        <f t="shared" si="1"/>
        <v>351</v>
      </c>
    </row>
    <row r="96" spans="1:6">
      <c r="A96" s="116" t="s">
        <v>382</v>
      </c>
      <c r="B96" s="116" t="s">
        <v>1145</v>
      </c>
      <c r="C96" s="125">
        <v>30</v>
      </c>
      <c r="D96" s="125">
        <v>237</v>
      </c>
      <c r="E96" s="125">
        <v>77</v>
      </c>
      <c r="F96" s="116">
        <f t="shared" si="1"/>
        <v>344</v>
      </c>
    </row>
    <row r="97" spans="1:6">
      <c r="A97" s="116" t="s">
        <v>474</v>
      </c>
      <c r="B97" s="116" t="s">
        <v>1146</v>
      </c>
      <c r="C97" s="125">
        <v>216</v>
      </c>
      <c r="D97" s="125">
        <v>1000</v>
      </c>
      <c r="E97" s="125">
        <v>866</v>
      </c>
      <c r="F97" s="116">
        <f t="shared" si="1"/>
        <v>2082</v>
      </c>
    </row>
    <row r="98" spans="1:6">
      <c r="A98" s="116" t="s">
        <v>254</v>
      </c>
      <c r="B98" s="116" t="s">
        <v>1147</v>
      </c>
      <c r="C98" s="125">
        <v>112</v>
      </c>
      <c r="D98" s="125">
        <v>552</v>
      </c>
      <c r="E98" s="125">
        <v>496</v>
      </c>
      <c r="F98" s="116">
        <f t="shared" si="1"/>
        <v>1160</v>
      </c>
    </row>
    <row r="99" spans="1:6">
      <c r="A99" s="116" t="s">
        <v>81</v>
      </c>
      <c r="B99" s="116" t="s">
        <v>1148</v>
      </c>
      <c r="C99" s="125">
        <v>64</v>
      </c>
      <c r="D99" s="125">
        <v>423</v>
      </c>
      <c r="E99" s="125">
        <v>240</v>
      </c>
      <c r="F99" s="116">
        <f t="shared" si="1"/>
        <v>727</v>
      </c>
    </row>
    <row r="100" spans="1:6">
      <c r="A100" s="116" t="s">
        <v>344</v>
      </c>
      <c r="B100" s="116" t="s">
        <v>1149</v>
      </c>
      <c r="C100" s="125">
        <v>126</v>
      </c>
      <c r="D100" s="125">
        <v>1035</v>
      </c>
      <c r="E100" s="125">
        <v>546</v>
      </c>
      <c r="F100" s="116">
        <f t="shared" si="1"/>
        <v>1707</v>
      </c>
    </row>
    <row r="101" spans="1:6">
      <c r="A101" s="116" t="s">
        <v>563</v>
      </c>
      <c r="B101" s="116" t="s">
        <v>1150</v>
      </c>
      <c r="C101" s="125">
        <v>91</v>
      </c>
      <c r="D101" s="125">
        <v>691</v>
      </c>
      <c r="E101" s="125">
        <v>313</v>
      </c>
      <c r="F101" s="116">
        <f t="shared" si="1"/>
        <v>1095</v>
      </c>
    </row>
    <row r="102" spans="1:6">
      <c r="A102" s="116" t="s">
        <v>128</v>
      </c>
      <c r="B102" s="116" t="s">
        <v>1151</v>
      </c>
      <c r="C102" s="125">
        <v>255</v>
      </c>
      <c r="D102" s="125">
        <v>1792</v>
      </c>
      <c r="E102" s="125">
        <v>923</v>
      </c>
      <c r="F102" s="116">
        <f t="shared" si="1"/>
        <v>2970</v>
      </c>
    </row>
    <row r="103" spans="1:6">
      <c r="A103" s="116" t="s">
        <v>460</v>
      </c>
      <c r="B103" s="116" t="s">
        <v>1152</v>
      </c>
      <c r="C103" s="125">
        <v>235</v>
      </c>
      <c r="D103" s="125">
        <v>1485</v>
      </c>
      <c r="E103" s="125">
        <v>1180</v>
      </c>
      <c r="F103" s="116">
        <f t="shared" si="1"/>
        <v>2900</v>
      </c>
    </row>
    <row r="104" spans="1:6">
      <c r="A104" s="116" t="s">
        <v>322</v>
      </c>
      <c r="B104" s="116" t="s">
        <v>1153</v>
      </c>
      <c r="C104" s="125">
        <v>250</v>
      </c>
      <c r="D104" s="125">
        <v>1822</v>
      </c>
      <c r="E104" s="125">
        <v>858</v>
      </c>
      <c r="F104" s="116">
        <f t="shared" si="1"/>
        <v>2930</v>
      </c>
    </row>
    <row r="105" spans="1:6">
      <c r="A105" s="116" t="s">
        <v>933</v>
      </c>
      <c r="B105" s="116" t="s">
        <v>1154</v>
      </c>
      <c r="C105" s="125">
        <v>0</v>
      </c>
      <c r="D105" s="125">
        <v>54.14</v>
      </c>
      <c r="E105" s="125">
        <v>2</v>
      </c>
      <c r="F105" s="116">
        <f t="shared" si="1"/>
        <v>56.14</v>
      </c>
    </row>
    <row r="106" spans="1:6">
      <c r="A106" s="116" t="s">
        <v>948</v>
      </c>
      <c r="B106" s="116" t="s">
        <v>1155</v>
      </c>
      <c r="C106" s="125">
        <v>0</v>
      </c>
      <c r="D106" s="125">
        <v>136</v>
      </c>
      <c r="E106" s="125">
        <v>23</v>
      </c>
      <c r="F106" s="116">
        <f t="shared" si="1"/>
        <v>159</v>
      </c>
    </row>
    <row r="107" spans="1:6">
      <c r="A107" s="116" t="s">
        <v>954</v>
      </c>
      <c r="B107" s="116" t="s">
        <v>1156</v>
      </c>
      <c r="C107" s="125">
        <v>0</v>
      </c>
      <c r="D107" s="125">
        <v>95.77</v>
      </c>
      <c r="E107" s="125">
        <v>2</v>
      </c>
      <c r="F107" s="116">
        <f t="shared" si="1"/>
        <v>97.77</v>
      </c>
    </row>
    <row r="108" spans="1:6">
      <c r="A108" s="116" t="s">
        <v>935</v>
      </c>
      <c r="B108" s="116" t="s">
        <v>1157</v>
      </c>
      <c r="C108" s="125">
        <v>0</v>
      </c>
      <c r="D108" s="125">
        <v>24</v>
      </c>
      <c r="E108" s="125">
        <v>0</v>
      </c>
      <c r="F108" s="116">
        <f t="shared" si="1"/>
        <v>24</v>
      </c>
    </row>
    <row r="109" spans="1:6">
      <c r="A109" s="116" t="s">
        <v>961</v>
      </c>
      <c r="B109" s="116" t="s">
        <v>1158</v>
      </c>
      <c r="C109" s="125">
        <v>0</v>
      </c>
      <c r="D109" s="125">
        <v>22</v>
      </c>
      <c r="E109" s="125">
        <v>8</v>
      </c>
      <c r="F109" s="116">
        <f t="shared" si="1"/>
        <v>30</v>
      </c>
    </row>
    <row r="110" spans="1:6">
      <c r="A110" s="116" t="s">
        <v>964</v>
      </c>
      <c r="B110" s="116" t="s">
        <v>1159</v>
      </c>
      <c r="C110" s="125">
        <v>0</v>
      </c>
      <c r="D110" s="125">
        <v>58.8</v>
      </c>
      <c r="E110" s="125">
        <v>0</v>
      </c>
      <c r="F110" s="116">
        <f t="shared" si="1"/>
        <v>58.8</v>
      </c>
    </row>
    <row r="111" spans="1:6">
      <c r="A111" s="116" t="s">
        <v>1051</v>
      </c>
      <c r="B111" s="116" t="s">
        <v>1160</v>
      </c>
      <c r="C111" s="125">
        <v>0</v>
      </c>
      <c r="D111" s="125">
        <v>34</v>
      </c>
      <c r="E111" s="125">
        <v>0</v>
      </c>
      <c r="F111" s="116">
        <f t="shared" si="1"/>
        <v>34</v>
      </c>
    </row>
    <row r="112" spans="1:6">
      <c r="A112" s="116" t="s">
        <v>1161</v>
      </c>
      <c r="B112" s="116" t="s">
        <v>1564</v>
      </c>
      <c r="C112" s="125">
        <v>0</v>
      </c>
      <c r="D112" s="125">
        <v>29.23</v>
      </c>
      <c r="E112" s="125">
        <v>0</v>
      </c>
      <c r="F112" s="116">
        <f t="shared" si="1"/>
        <v>29.23</v>
      </c>
    </row>
    <row r="113" spans="1:6">
      <c r="A113" s="116" t="s">
        <v>524</v>
      </c>
      <c r="B113" s="116" t="s">
        <v>1162</v>
      </c>
      <c r="C113" s="125">
        <v>72</v>
      </c>
      <c r="D113" s="125">
        <v>394</v>
      </c>
      <c r="E113" s="125">
        <v>276</v>
      </c>
      <c r="F113" s="116">
        <f t="shared" si="1"/>
        <v>742</v>
      </c>
    </row>
    <row r="114" spans="1:6">
      <c r="A114" s="116" t="s">
        <v>476</v>
      </c>
      <c r="B114" s="116" t="s">
        <v>1163</v>
      </c>
      <c r="C114" s="125">
        <v>34</v>
      </c>
      <c r="D114" s="125">
        <v>285</v>
      </c>
      <c r="E114" s="125">
        <v>144</v>
      </c>
      <c r="F114" s="116">
        <f t="shared" si="1"/>
        <v>463</v>
      </c>
    </row>
    <row r="115" spans="1:6">
      <c r="A115" s="116" t="s">
        <v>48</v>
      </c>
      <c r="B115" s="116" t="s">
        <v>1164</v>
      </c>
      <c r="C115" s="125">
        <v>61</v>
      </c>
      <c r="D115" s="125">
        <v>492</v>
      </c>
      <c r="E115" s="125">
        <v>217</v>
      </c>
      <c r="F115" s="116">
        <f t="shared" si="1"/>
        <v>770</v>
      </c>
    </row>
    <row r="116" spans="1:6">
      <c r="A116" s="116" t="s">
        <v>281</v>
      </c>
      <c r="B116" s="116" t="s">
        <v>1165</v>
      </c>
      <c r="C116" s="125">
        <v>132</v>
      </c>
      <c r="D116" s="125">
        <v>1045</v>
      </c>
      <c r="E116" s="125">
        <v>549</v>
      </c>
      <c r="F116" s="116">
        <f t="shared" si="1"/>
        <v>1726</v>
      </c>
    </row>
    <row r="117" spans="1:6">
      <c r="A117" s="116" t="s">
        <v>567</v>
      </c>
      <c r="B117" s="116" t="s">
        <v>1166</v>
      </c>
      <c r="C117" s="125">
        <v>145</v>
      </c>
      <c r="D117" s="125">
        <v>864</v>
      </c>
      <c r="E117" s="125">
        <v>538</v>
      </c>
      <c r="F117" s="116">
        <f t="shared" si="1"/>
        <v>1547</v>
      </c>
    </row>
    <row r="118" spans="1:6">
      <c r="A118" s="116" t="s">
        <v>1050</v>
      </c>
      <c r="B118" s="116" t="s">
        <v>1047</v>
      </c>
      <c r="C118" s="125">
        <v>0</v>
      </c>
      <c r="D118" s="125">
        <v>66.64</v>
      </c>
      <c r="E118" s="125">
        <v>0</v>
      </c>
      <c r="F118" s="116">
        <f t="shared" si="1"/>
        <v>66.64</v>
      </c>
    </row>
    <row r="119" spans="1:6">
      <c r="A119" s="116" t="s">
        <v>881</v>
      </c>
      <c r="B119" s="116" t="s">
        <v>996</v>
      </c>
      <c r="C119" s="125">
        <v>0</v>
      </c>
      <c r="D119" s="125">
        <v>18</v>
      </c>
      <c r="E119" s="125">
        <v>1</v>
      </c>
      <c r="F119" s="116">
        <f t="shared" si="1"/>
        <v>19</v>
      </c>
    </row>
    <row r="120" spans="1:6">
      <c r="A120" s="116" t="s">
        <v>406</v>
      </c>
      <c r="B120" s="116" t="s">
        <v>1167</v>
      </c>
      <c r="C120" s="125">
        <v>1</v>
      </c>
      <c r="D120" s="125">
        <v>5</v>
      </c>
      <c r="E120" s="125">
        <v>0</v>
      </c>
      <c r="F120" s="116">
        <f t="shared" si="1"/>
        <v>6</v>
      </c>
    </row>
    <row r="121" spans="1:6">
      <c r="A121" s="116" t="s">
        <v>234</v>
      </c>
      <c r="B121" s="116" t="s">
        <v>1168</v>
      </c>
      <c r="C121" s="125">
        <v>0</v>
      </c>
      <c r="D121" s="125">
        <v>12</v>
      </c>
      <c r="E121" s="125">
        <v>1</v>
      </c>
      <c r="F121" s="116">
        <f t="shared" si="1"/>
        <v>13</v>
      </c>
    </row>
    <row r="122" spans="1:6">
      <c r="A122" s="116" t="s">
        <v>260</v>
      </c>
      <c r="B122" s="116" t="s">
        <v>1169</v>
      </c>
      <c r="C122" s="125">
        <v>1</v>
      </c>
      <c r="D122" s="125">
        <v>26</v>
      </c>
      <c r="E122" s="125">
        <v>5</v>
      </c>
      <c r="F122" s="116">
        <f t="shared" si="1"/>
        <v>32</v>
      </c>
    </row>
    <row r="123" spans="1:6">
      <c r="A123" s="116" t="s">
        <v>240</v>
      </c>
      <c r="B123" s="116" t="s">
        <v>1170</v>
      </c>
      <c r="C123" s="125">
        <v>33.53</v>
      </c>
      <c r="D123" s="125">
        <v>254.88</v>
      </c>
      <c r="E123" s="125">
        <v>131.63</v>
      </c>
      <c r="F123" s="116">
        <f t="shared" si="1"/>
        <v>420.03999999999996</v>
      </c>
    </row>
    <row r="124" spans="1:6">
      <c r="A124" s="116" t="s">
        <v>482</v>
      </c>
      <c r="B124" s="116" t="s">
        <v>1171</v>
      </c>
      <c r="C124" s="125">
        <v>1</v>
      </c>
      <c r="D124" s="125">
        <v>60</v>
      </c>
      <c r="E124" s="125">
        <v>22</v>
      </c>
      <c r="F124" s="116">
        <f t="shared" si="1"/>
        <v>83</v>
      </c>
    </row>
    <row r="125" spans="1:6">
      <c r="A125" s="116" t="s">
        <v>23</v>
      </c>
      <c r="B125" s="116" t="s">
        <v>1172</v>
      </c>
      <c r="C125" s="125">
        <v>10</v>
      </c>
      <c r="D125" s="125">
        <v>104</v>
      </c>
      <c r="E125" s="125">
        <v>30</v>
      </c>
      <c r="F125" s="116">
        <f t="shared" si="1"/>
        <v>144</v>
      </c>
    </row>
    <row r="126" spans="1:6">
      <c r="A126" s="116" t="s">
        <v>94</v>
      </c>
      <c r="B126" s="116" t="s">
        <v>1173</v>
      </c>
      <c r="C126" s="125">
        <v>8</v>
      </c>
      <c r="D126" s="125">
        <v>52</v>
      </c>
      <c r="E126" s="125">
        <v>19</v>
      </c>
      <c r="F126" s="116">
        <f t="shared" si="1"/>
        <v>79</v>
      </c>
    </row>
    <row r="127" spans="1:6">
      <c r="A127" s="116" t="s">
        <v>419</v>
      </c>
      <c r="B127" s="116" t="s">
        <v>1174</v>
      </c>
      <c r="C127" s="125">
        <v>0</v>
      </c>
      <c r="D127" s="125">
        <v>6</v>
      </c>
      <c r="E127" s="125">
        <v>0</v>
      </c>
      <c r="F127" s="116">
        <f t="shared" si="1"/>
        <v>6</v>
      </c>
    </row>
    <row r="128" spans="1:6">
      <c r="A128" s="116" t="s">
        <v>207</v>
      </c>
      <c r="B128" s="116" t="s">
        <v>1175</v>
      </c>
      <c r="C128" s="125">
        <v>2</v>
      </c>
      <c r="D128" s="125">
        <v>43</v>
      </c>
      <c r="E128" s="125">
        <v>48</v>
      </c>
      <c r="F128" s="116">
        <f t="shared" si="1"/>
        <v>93</v>
      </c>
    </row>
    <row r="129" spans="1:6">
      <c r="A129" s="116" t="s">
        <v>75</v>
      </c>
      <c r="B129" s="116" t="s">
        <v>1176</v>
      </c>
      <c r="C129" s="125">
        <v>3</v>
      </c>
      <c r="D129" s="125">
        <v>27</v>
      </c>
      <c r="E129" s="125">
        <v>20</v>
      </c>
      <c r="F129" s="116">
        <f t="shared" si="1"/>
        <v>50</v>
      </c>
    </row>
    <row r="130" spans="1:6">
      <c r="A130" s="116" t="s">
        <v>53</v>
      </c>
      <c r="B130" s="116" t="s">
        <v>1177</v>
      </c>
      <c r="C130" s="125">
        <v>4</v>
      </c>
      <c r="D130" s="125">
        <v>50</v>
      </c>
      <c r="E130" s="125">
        <v>29</v>
      </c>
      <c r="F130" s="116">
        <f t="shared" si="1"/>
        <v>83</v>
      </c>
    </row>
    <row r="131" spans="1:6">
      <c r="A131" s="116" t="s">
        <v>312</v>
      </c>
      <c r="B131" s="116" t="s">
        <v>1178</v>
      </c>
      <c r="C131" s="125">
        <v>8</v>
      </c>
      <c r="D131" s="125">
        <v>66</v>
      </c>
      <c r="E131" s="125">
        <v>43</v>
      </c>
      <c r="F131" s="116">
        <f t="shared" ref="F131:F194" si="2">C131+D131+E131</f>
        <v>117</v>
      </c>
    </row>
    <row r="132" spans="1:6">
      <c r="A132" s="116" t="s">
        <v>16</v>
      </c>
      <c r="B132" s="116" t="s">
        <v>1179</v>
      </c>
      <c r="C132" s="125">
        <v>2</v>
      </c>
      <c r="D132" s="125">
        <v>12</v>
      </c>
      <c r="E132" s="125">
        <v>5</v>
      </c>
      <c r="F132" s="116">
        <f t="shared" si="2"/>
        <v>19</v>
      </c>
    </row>
    <row r="133" spans="1:6">
      <c r="A133" s="116" t="s">
        <v>262</v>
      </c>
      <c r="B133" s="116" t="s">
        <v>1180</v>
      </c>
      <c r="C133" s="125">
        <v>9</v>
      </c>
      <c r="D133" s="125">
        <v>54.54</v>
      </c>
      <c r="E133" s="125">
        <v>68</v>
      </c>
      <c r="F133" s="116">
        <f t="shared" si="2"/>
        <v>131.54</v>
      </c>
    </row>
    <row r="134" spans="1:6">
      <c r="A134" s="116" t="s">
        <v>114</v>
      </c>
      <c r="B134" s="116" t="s">
        <v>1181</v>
      </c>
      <c r="C134" s="125">
        <v>8.7100000000000009</v>
      </c>
      <c r="D134" s="125">
        <v>82</v>
      </c>
      <c r="E134" s="125">
        <v>58.29</v>
      </c>
      <c r="F134" s="116">
        <f t="shared" si="2"/>
        <v>149</v>
      </c>
    </row>
    <row r="135" spans="1:6">
      <c r="A135" s="116" t="s">
        <v>393</v>
      </c>
      <c r="B135" s="116" t="s">
        <v>1182</v>
      </c>
      <c r="C135" s="125">
        <v>7</v>
      </c>
      <c r="D135" s="125">
        <v>25</v>
      </c>
      <c r="E135" s="125">
        <v>22</v>
      </c>
      <c r="F135" s="116">
        <f t="shared" si="2"/>
        <v>54</v>
      </c>
    </row>
    <row r="136" spans="1:6">
      <c r="A136" s="116" t="s">
        <v>287</v>
      </c>
      <c r="B136" s="116" t="s">
        <v>1183</v>
      </c>
      <c r="C136" s="125">
        <v>25</v>
      </c>
      <c r="D136" s="125">
        <v>211</v>
      </c>
      <c r="E136" s="125">
        <v>186</v>
      </c>
      <c r="F136" s="116">
        <f t="shared" si="2"/>
        <v>422</v>
      </c>
    </row>
    <row r="137" spans="1:6">
      <c r="A137" s="116" t="s">
        <v>300</v>
      </c>
      <c r="B137" s="116" t="s">
        <v>1184</v>
      </c>
      <c r="C137" s="125">
        <v>1</v>
      </c>
      <c r="D137" s="125">
        <v>41</v>
      </c>
      <c r="E137" s="125">
        <v>20</v>
      </c>
      <c r="F137" s="116">
        <f t="shared" si="2"/>
        <v>62</v>
      </c>
    </row>
    <row r="138" spans="1:6">
      <c r="A138" s="116" t="s">
        <v>285</v>
      </c>
      <c r="B138" s="116" t="s">
        <v>1185</v>
      </c>
      <c r="C138" s="125">
        <v>31.43</v>
      </c>
      <c r="D138" s="125">
        <v>271.70999999999998</v>
      </c>
      <c r="E138" s="125">
        <v>182.71</v>
      </c>
      <c r="F138" s="116">
        <f t="shared" si="2"/>
        <v>485.85</v>
      </c>
    </row>
    <row r="139" spans="1:6">
      <c r="A139" s="116" t="s">
        <v>541</v>
      </c>
      <c r="B139" s="116" t="s">
        <v>1186</v>
      </c>
      <c r="C139" s="125">
        <v>0</v>
      </c>
      <c r="D139" s="125">
        <v>14</v>
      </c>
      <c r="E139" s="125">
        <v>2</v>
      </c>
      <c r="F139" s="116">
        <f t="shared" si="2"/>
        <v>16</v>
      </c>
    </row>
    <row r="140" spans="1:6">
      <c r="A140" s="116" t="s">
        <v>368</v>
      </c>
      <c r="B140" s="116" t="s">
        <v>1187</v>
      </c>
      <c r="C140" s="125">
        <v>2</v>
      </c>
      <c r="D140" s="125">
        <v>46</v>
      </c>
      <c r="E140" s="125">
        <v>32</v>
      </c>
      <c r="F140" s="116">
        <f t="shared" si="2"/>
        <v>80</v>
      </c>
    </row>
    <row r="141" spans="1:6">
      <c r="A141" s="116" t="s">
        <v>55</v>
      </c>
      <c r="B141" s="116" t="s">
        <v>1188</v>
      </c>
      <c r="C141" s="125">
        <v>1</v>
      </c>
      <c r="D141" s="125">
        <v>12</v>
      </c>
      <c r="E141" s="125">
        <v>0</v>
      </c>
      <c r="F141" s="116">
        <f t="shared" si="2"/>
        <v>13</v>
      </c>
    </row>
    <row r="142" spans="1:6">
      <c r="A142" s="116" t="s">
        <v>145</v>
      </c>
      <c r="B142" s="116" t="s">
        <v>1189</v>
      </c>
      <c r="C142" s="125">
        <v>1</v>
      </c>
      <c r="D142" s="125">
        <v>18</v>
      </c>
      <c r="E142" s="125">
        <v>5</v>
      </c>
      <c r="F142" s="116">
        <f t="shared" si="2"/>
        <v>24</v>
      </c>
    </row>
    <row r="143" spans="1:6">
      <c r="A143" s="116" t="s">
        <v>106</v>
      </c>
      <c r="B143" s="116" t="s">
        <v>1190</v>
      </c>
      <c r="C143" s="125">
        <v>2</v>
      </c>
      <c r="D143" s="125">
        <v>20</v>
      </c>
      <c r="E143" s="125">
        <v>10</v>
      </c>
      <c r="F143" s="116">
        <f t="shared" si="2"/>
        <v>32</v>
      </c>
    </row>
    <row r="144" spans="1:6">
      <c r="A144" s="116" t="s">
        <v>306</v>
      </c>
      <c r="B144" s="116" t="s">
        <v>1191</v>
      </c>
      <c r="C144" s="125">
        <v>0</v>
      </c>
      <c r="D144" s="125">
        <v>37</v>
      </c>
      <c r="E144" s="125">
        <v>8</v>
      </c>
      <c r="F144" s="116">
        <f t="shared" si="2"/>
        <v>45</v>
      </c>
    </row>
    <row r="145" spans="1:6">
      <c r="A145" s="116" t="s">
        <v>447</v>
      </c>
      <c r="B145" s="116" t="s">
        <v>1192</v>
      </c>
      <c r="C145" s="125">
        <v>1</v>
      </c>
      <c r="D145" s="125">
        <v>19</v>
      </c>
      <c r="E145" s="125">
        <v>2</v>
      </c>
      <c r="F145" s="116">
        <f t="shared" si="2"/>
        <v>22</v>
      </c>
    </row>
    <row r="146" spans="1:6">
      <c r="A146" s="116" t="s">
        <v>226</v>
      </c>
      <c r="B146" s="116" t="s">
        <v>1193</v>
      </c>
      <c r="C146" s="125">
        <v>5</v>
      </c>
      <c r="D146" s="125">
        <v>57</v>
      </c>
      <c r="E146" s="125">
        <v>18</v>
      </c>
      <c r="F146" s="116">
        <f t="shared" si="2"/>
        <v>80</v>
      </c>
    </row>
    <row r="147" spans="1:6">
      <c r="A147" s="116" t="s">
        <v>571</v>
      </c>
      <c r="B147" s="116" t="s">
        <v>1194</v>
      </c>
      <c r="C147" s="125">
        <v>0</v>
      </c>
      <c r="D147" s="125">
        <v>22</v>
      </c>
      <c r="E147" s="125">
        <v>8</v>
      </c>
      <c r="F147" s="116">
        <f t="shared" si="2"/>
        <v>30</v>
      </c>
    </row>
    <row r="148" spans="1:6">
      <c r="A148" s="116" t="s">
        <v>439</v>
      </c>
      <c r="B148" s="116" t="s">
        <v>1195</v>
      </c>
      <c r="C148" s="125">
        <v>0</v>
      </c>
      <c r="D148" s="125">
        <v>23</v>
      </c>
      <c r="E148" s="125">
        <v>2</v>
      </c>
      <c r="F148" s="116">
        <f t="shared" si="2"/>
        <v>25</v>
      </c>
    </row>
    <row r="149" spans="1:6">
      <c r="A149" s="116" t="s">
        <v>561</v>
      </c>
      <c r="B149" s="116" t="s">
        <v>1196</v>
      </c>
      <c r="C149" s="125">
        <v>85</v>
      </c>
      <c r="D149" s="125">
        <v>130</v>
      </c>
      <c r="E149" s="125">
        <v>422</v>
      </c>
      <c r="F149" s="116">
        <f t="shared" si="2"/>
        <v>637</v>
      </c>
    </row>
    <row r="150" spans="1:6">
      <c r="A150" s="116" t="s">
        <v>496</v>
      </c>
      <c r="B150" s="116" t="s">
        <v>1197</v>
      </c>
      <c r="C150" s="125">
        <v>1</v>
      </c>
      <c r="D150" s="125">
        <v>206</v>
      </c>
      <c r="E150" s="125">
        <v>30</v>
      </c>
      <c r="F150" s="116">
        <f t="shared" si="2"/>
        <v>237</v>
      </c>
    </row>
    <row r="151" spans="1:6">
      <c r="A151" s="116" t="s">
        <v>397</v>
      </c>
      <c r="B151" s="116" t="s">
        <v>1198</v>
      </c>
      <c r="C151" s="125">
        <v>12</v>
      </c>
      <c r="D151" s="125">
        <v>93</v>
      </c>
      <c r="E151" s="125">
        <v>15</v>
      </c>
      <c r="F151" s="116">
        <f t="shared" si="2"/>
        <v>120</v>
      </c>
    </row>
    <row r="152" spans="1:6">
      <c r="A152" s="116" t="s">
        <v>50</v>
      </c>
      <c r="B152" s="116" t="s">
        <v>1199</v>
      </c>
      <c r="C152" s="125">
        <v>30</v>
      </c>
      <c r="D152" s="125">
        <v>227</v>
      </c>
      <c r="E152" s="125">
        <v>88</v>
      </c>
      <c r="F152" s="116">
        <f t="shared" si="2"/>
        <v>345</v>
      </c>
    </row>
    <row r="153" spans="1:6">
      <c r="A153" s="116" t="s">
        <v>336</v>
      </c>
      <c r="B153" s="116" t="s">
        <v>1200</v>
      </c>
      <c r="C153" s="125">
        <v>0</v>
      </c>
      <c r="D153" s="125">
        <v>33</v>
      </c>
      <c r="E153" s="125">
        <v>3</v>
      </c>
      <c r="F153" s="116">
        <f t="shared" si="2"/>
        <v>36</v>
      </c>
    </row>
    <row r="154" spans="1:6">
      <c r="A154" s="116" t="s">
        <v>97</v>
      </c>
      <c r="B154" s="116" t="s">
        <v>1568</v>
      </c>
      <c r="C154" s="125">
        <v>2</v>
      </c>
      <c r="D154" s="125">
        <v>20</v>
      </c>
      <c r="E154" s="125">
        <v>1</v>
      </c>
      <c r="F154" s="116">
        <f t="shared" si="2"/>
        <v>23</v>
      </c>
    </row>
    <row r="155" spans="1:6">
      <c r="A155" s="116" t="s">
        <v>112</v>
      </c>
      <c r="B155" s="116" t="s">
        <v>1201</v>
      </c>
      <c r="C155" s="125">
        <v>24</v>
      </c>
      <c r="D155" s="125">
        <v>744.6</v>
      </c>
      <c r="E155" s="125">
        <v>210.02</v>
      </c>
      <c r="F155" s="116">
        <f t="shared" si="2"/>
        <v>978.62</v>
      </c>
    </row>
    <row r="156" spans="1:6">
      <c r="A156" s="116" t="s">
        <v>108</v>
      </c>
      <c r="B156" s="116" t="s">
        <v>1202</v>
      </c>
      <c r="C156" s="125">
        <v>9.17</v>
      </c>
      <c r="D156" s="125">
        <v>123.83</v>
      </c>
      <c r="E156" s="125">
        <v>26.83</v>
      </c>
      <c r="F156" s="116">
        <f t="shared" si="2"/>
        <v>159.82999999999998</v>
      </c>
    </row>
    <row r="157" spans="1:6">
      <c r="A157" s="116" t="s">
        <v>526</v>
      </c>
      <c r="B157" s="116" t="s">
        <v>1203</v>
      </c>
      <c r="C157" s="125">
        <v>7</v>
      </c>
      <c r="D157" s="125">
        <v>65</v>
      </c>
      <c r="E157" s="125">
        <v>41</v>
      </c>
      <c r="F157" s="116">
        <f t="shared" si="2"/>
        <v>113</v>
      </c>
    </row>
    <row r="158" spans="1:6">
      <c r="A158" s="116" t="s">
        <v>388</v>
      </c>
      <c r="B158" s="116" t="s">
        <v>1204</v>
      </c>
      <c r="C158" s="125">
        <v>1</v>
      </c>
      <c r="D158" s="125">
        <v>34</v>
      </c>
      <c r="E158" s="125">
        <v>12</v>
      </c>
      <c r="F158" s="116">
        <f t="shared" si="2"/>
        <v>47</v>
      </c>
    </row>
    <row r="159" spans="1:6">
      <c r="A159" s="116" t="s">
        <v>264</v>
      </c>
      <c r="B159" s="116" t="s">
        <v>1205</v>
      </c>
      <c r="C159" s="125">
        <v>12</v>
      </c>
      <c r="D159" s="125">
        <v>93</v>
      </c>
      <c r="E159" s="125">
        <v>20</v>
      </c>
      <c r="F159" s="116">
        <f t="shared" si="2"/>
        <v>125</v>
      </c>
    </row>
    <row r="160" spans="1:6">
      <c r="A160" s="116" t="s">
        <v>163</v>
      </c>
      <c r="B160" s="116" t="s">
        <v>1206</v>
      </c>
      <c r="C160" s="125">
        <v>5</v>
      </c>
      <c r="D160" s="125">
        <v>12</v>
      </c>
      <c r="E160" s="125">
        <v>51</v>
      </c>
      <c r="F160" s="116">
        <f t="shared" si="2"/>
        <v>68</v>
      </c>
    </row>
    <row r="161" spans="1:6">
      <c r="A161" s="116" t="s">
        <v>85</v>
      </c>
      <c r="B161" s="116" t="s">
        <v>1207</v>
      </c>
      <c r="C161" s="125">
        <v>6</v>
      </c>
      <c r="D161" s="125">
        <v>25</v>
      </c>
      <c r="E161" s="125">
        <v>49</v>
      </c>
      <c r="F161" s="116">
        <f t="shared" si="2"/>
        <v>80</v>
      </c>
    </row>
    <row r="162" spans="1:6">
      <c r="A162" s="116" t="s">
        <v>308</v>
      </c>
      <c r="B162" s="116" t="s">
        <v>1208</v>
      </c>
      <c r="C162" s="125">
        <v>1.57</v>
      </c>
      <c r="D162" s="125">
        <v>26.29</v>
      </c>
      <c r="E162" s="125">
        <v>18.29</v>
      </c>
      <c r="F162" s="116">
        <f t="shared" si="2"/>
        <v>46.15</v>
      </c>
    </row>
    <row r="163" spans="1:6">
      <c r="A163" s="116" t="s">
        <v>316</v>
      </c>
      <c r="B163" s="116" t="s">
        <v>1209</v>
      </c>
      <c r="C163" s="125">
        <v>0</v>
      </c>
      <c r="D163" s="125">
        <v>7</v>
      </c>
      <c r="E163" s="125">
        <v>0</v>
      </c>
      <c r="F163" s="116">
        <f t="shared" si="2"/>
        <v>7</v>
      </c>
    </row>
    <row r="164" spans="1:6">
      <c r="A164" s="116" t="s">
        <v>99</v>
      </c>
      <c r="B164" s="116" t="s">
        <v>1210</v>
      </c>
      <c r="C164" s="125">
        <v>10</v>
      </c>
      <c r="D164" s="125">
        <v>62</v>
      </c>
      <c r="E164" s="125">
        <v>95</v>
      </c>
      <c r="F164" s="116">
        <f t="shared" si="2"/>
        <v>167</v>
      </c>
    </row>
    <row r="165" spans="1:6">
      <c r="A165" s="116" t="s">
        <v>404</v>
      </c>
      <c r="B165" s="116" t="s">
        <v>1211</v>
      </c>
      <c r="C165" s="125">
        <v>3</v>
      </c>
      <c r="D165" s="125">
        <v>35</v>
      </c>
      <c r="E165" s="125">
        <v>12</v>
      </c>
      <c r="F165" s="116">
        <f t="shared" si="2"/>
        <v>50</v>
      </c>
    </row>
    <row r="166" spans="1:6">
      <c r="A166" s="116" t="s">
        <v>555</v>
      </c>
      <c r="B166" s="116" t="s">
        <v>1212</v>
      </c>
      <c r="C166" s="125">
        <v>6</v>
      </c>
      <c r="D166" s="125">
        <v>28</v>
      </c>
      <c r="E166" s="125">
        <v>18</v>
      </c>
      <c r="F166" s="116">
        <f t="shared" si="2"/>
        <v>52</v>
      </c>
    </row>
    <row r="167" spans="1:6">
      <c r="A167" s="116" t="s">
        <v>65</v>
      </c>
      <c r="B167" s="116" t="s">
        <v>1213</v>
      </c>
      <c r="C167" s="125">
        <v>26</v>
      </c>
      <c r="D167" s="125">
        <v>260</v>
      </c>
      <c r="E167" s="125">
        <v>140</v>
      </c>
      <c r="F167" s="116">
        <f t="shared" si="2"/>
        <v>426</v>
      </c>
    </row>
    <row r="168" spans="1:6">
      <c r="A168" s="116" t="s">
        <v>352</v>
      </c>
      <c r="B168" s="116" t="s">
        <v>1214</v>
      </c>
      <c r="C168" s="125">
        <v>275</v>
      </c>
      <c r="D168" s="125">
        <v>1375</v>
      </c>
      <c r="E168" s="125">
        <v>1175</v>
      </c>
      <c r="F168" s="116">
        <f t="shared" si="2"/>
        <v>2825</v>
      </c>
    </row>
    <row r="169" spans="1:6">
      <c r="A169" s="116" t="s">
        <v>250</v>
      </c>
      <c r="B169" s="116" t="s">
        <v>1215</v>
      </c>
      <c r="C169" s="125">
        <v>308.49</v>
      </c>
      <c r="D169" s="125">
        <v>2305.0300000000002</v>
      </c>
      <c r="E169" s="125">
        <v>1392.48</v>
      </c>
      <c r="F169" s="116">
        <f t="shared" si="2"/>
        <v>4006.0000000000005</v>
      </c>
    </row>
    <row r="170" spans="1:6">
      <c r="A170" s="116" t="s">
        <v>538</v>
      </c>
      <c r="B170" s="116" t="s">
        <v>1216</v>
      </c>
      <c r="C170" s="125">
        <v>1</v>
      </c>
      <c r="D170" s="125">
        <v>27</v>
      </c>
      <c r="E170" s="125">
        <v>3</v>
      </c>
      <c r="F170" s="116">
        <f t="shared" si="2"/>
        <v>31</v>
      </c>
    </row>
    <row r="171" spans="1:6">
      <c r="A171" s="116" t="s">
        <v>193</v>
      </c>
      <c r="B171" s="116" t="s">
        <v>1217</v>
      </c>
      <c r="C171" s="125">
        <v>38.5</v>
      </c>
      <c r="D171" s="125">
        <v>270</v>
      </c>
      <c r="E171" s="125">
        <v>266.5</v>
      </c>
      <c r="F171" s="116">
        <f t="shared" si="2"/>
        <v>575</v>
      </c>
    </row>
    <row r="172" spans="1:6">
      <c r="A172" s="116" t="s">
        <v>246</v>
      </c>
      <c r="B172" s="116" t="s">
        <v>1218</v>
      </c>
      <c r="C172" s="125">
        <v>90</v>
      </c>
      <c r="D172" s="125">
        <v>713</v>
      </c>
      <c r="E172" s="125">
        <v>437</v>
      </c>
      <c r="F172" s="116">
        <f t="shared" si="2"/>
        <v>1240</v>
      </c>
    </row>
    <row r="173" spans="1:6">
      <c r="A173" s="116" t="s">
        <v>357</v>
      </c>
      <c r="B173" s="116" t="s">
        <v>1219</v>
      </c>
      <c r="C173" s="125">
        <v>18</v>
      </c>
      <c r="D173" s="125">
        <v>63</v>
      </c>
      <c r="E173" s="125">
        <v>75</v>
      </c>
      <c r="F173" s="116">
        <f t="shared" si="2"/>
        <v>156</v>
      </c>
    </row>
    <row r="174" spans="1:6">
      <c r="A174" s="116" t="s">
        <v>165</v>
      </c>
      <c r="B174" s="116" t="s">
        <v>1220</v>
      </c>
      <c r="C174" s="125">
        <v>37</v>
      </c>
      <c r="D174" s="125">
        <v>210</v>
      </c>
      <c r="E174" s="125">
        <v>181</v>
      </c>
      <c r="F174" s="116">
        <f t="shared" si="2"/>
        <v>428</v>
      </c>
    </row>
    <row r="175" spans="1:6">
      <c r="A175" s="116" t="s">
        <v>25</v>
      </c>
      <c r="B175" s="116" t="s">
        <v>1221</v>
      </c>
      <c r="C175" s="125">
        <v>212</v>
      </c>
      <c r="D175" s="125">
        <v>837</v>
      </c>
      <c r="E175" s="125">
        <v>908</v>
      </c>
      <c r="F175" s="116">
        <f t="shared" si="2"/>
        <v>1957</v>
      </c>
    </row>
    <row r="176" spans="1:6">
      <c r="A176" s="116" t="s">
        <v>395</v>
      </c>
      <c r="B176" s="116" t="s">
        <v>1222</v>
      </c>
      <c r="C176" s="125">
        <v>90</v>
      </c>
      <c r="D176" s="125">
        <v>700</v>
      </c>
      <c r="E176" s="125">
        <v>420</v>
      </c>
      <c r="F176" s="116">
        <f t="shared" si="2"/>
        <v>1210</v>
      </c>
    </row>
    <row r="177" spans="1:6">
      <c r="A177" s="116" t="s">
        <v>426</v>
      </c>
      <c r="B177" s="116" t="s">
        <v>1223</v>
      </c>
      <c r="C177" s="125">
        <v>77.8</v>
      </c>
      <c r="D177" s="125">
        <v>472.4</v>
      </c>
      <c r="E177" s="125">
        <v>473.4</v>
      </c>
      <c r="F177" s="116">
        <f t="shared" si="2"/>
        <v>1023.5999999999999</v>
      </c>
    </row>
    <row r="178" spans="1:6">
      <c r="A178" s="116" t="s">
        <v>201</v>
      </c>
      <c r="B178" s="116" t="s">
        <v>1224</v>
      </c>
      <c r="C178" s="125">
        <v>192</v>
      </c>
      <c r="D178" s="125">
        <v>1439</v>
      </c>
      <c r="E178" s="125">
        <v>1129</v>
      </c>
      <c r="F178" s="116">
        <f t="shared" si="2"/>
        <v>2760</v>
      </c>
    </row>
    <row r="179" spans="1:6">
      <c r="A179" s="116" t="s">
        <v>236</v>
      </c>
      <c r="B179" s="116" t="s">
        <v>1225</v>
      </c>
      <c r="C179" s="125">
        <v>18.55</v>
      </c>
      <c r="D179" s="125">
        <v>121.36</v>
      </c>
      <c r="E179" s="125">
        <v>76.56</v>
      </c>
      <c r="F179" s="116">
        <f t="shared" si="2"/>
        <v>216.47</v>
      </c>
    </row>
    <row r="180" spans="1:6">
      <c r="A180" s="116" t="s">
        <v>302</v>
      </c>
      <c r="B180" s="116" t="s">
        <v>1226</v>
      </c>
      <c r="C180" s="125">
        <v>43</v>
      </c>
      <c r="D180" s="125">
        <v>339</v>
      </c>
      <c r="E180" s="125">
        <v>224</v>
      </c>
      <c r="F180" s="116">
        <f t="shared" si="2"/>
        <v>606</v>
      </c>
    </row>
    <row r="181" spans="1:6">
      <c r="A181" s="116" t="s">
        <v>422</v>
      </c>
      <c r="B181" s="116" t="s">
        <v>1227</v>
      </c>
      <c r="C181" s="125">
        <v>43</v>
      </c>
      <c r="D181" s="125">
        <v>185</v>
      </c>
      <c r="E181" s="125">
        <v>215</v>
      </c>
      <c r="F181" s="116">
        <f t="shared" si="2"/>
        <v>443</v>
      </c>
    </row>
    <row r="182" spans="1:6">
      <c r="A182" s="116" t="s">
        <v>1013</v>
      </c>
      <c r="B182" s="116" t="s">
        <v>1228</v>
      </c>
      <c r="C182" s="125">
        <v>0</v>
      </c>
      <c r="D182" s="125">
        <v>110</v>
      </c>
      <c r="E182" s="125">
        <v>0</v>
      </c>
      <c r="F182" s="116">
        <f t="shared" si="2"/>
        <v>110</v>
      </c>
    </row>
    <row r="183" spans="1:6">
      <c r="A183" s="116" t="s">
        <v>1509</v>
      </c>
      <c r="B183" s="116" t="s">
        <v>1569</v>
      </c>
      <c r="C183" s="125">
        <v>0</v>
      </c>
      <c r="D183" s="125">
        <v>10.26</v>
      </c>
      <c r="E183" s="125">
        <v>0</v>
      </c>
      <c r="F183" s="116">
        <f t="shared" si="2"/>
        <v>10.26</v>
      </c>
    </row>
    <row r="184" spans="1:6">
      <c r="A184" s="116" t="s">
        <v>934</v>
      </c>
      <c r="B184" s="116" t="s">
        <v>1229</v>
      </c>
      <c r="C184" s="125">
        <v>0</v>
      </c>
      <c r="D184" s="125">
        <v>25.84</v>
      </c>
      <c r="E184" s="125">
        <v>2</v>
      </c>
      <c r="F184" s="116">
        <f t="shared" si="2"/>
        <v>27.84</v>
      </c>
    </row>
    <row r="185" spans="1:6">
      <c r="A185" s="116" t="s">
        <v>559</v>
      </c>
      <c r="B185" s="116" t="s">
        <v>1230</v>
      </c>
      <c r="C185" s="125">
        <v>0</v>
      </c>
      <c r="D185" s="125">
        <v>0</v>
      </c>
      <c r="E185" s="125">
        <v>0</v>
      </c>
      <c r="F185" s="116">
        <f t="shared" si="2"/>
        <v>0</v>
      </c>
    </row>
    <row r="186" spans="1:6">
      <c r="A186" s="116" t="s">
        <v>118</v>
      </c>
      <c r="B186" s="116" t="s">
        <v>1231</v>
      </c>
      <c r="C186" s="125">
        <v>10</v>
      </c>
      <c r="D186" s="125">
        <v>70</v>
      </c>
      <c r="E186" s="125">
        <v>10</v>
      </c>
      <c r="F186" s="116">
        <f t="shared" si="2"/>
        <v>90</v>
      </c>
    </row>
    <row r="187" spans="1:6">
      <c r="A187" s="116" t="s">
        <v>470</v>
      </c>
      <c r="B187" s="116" t="s">
        <v>1232</v>
      </c>
      <c r="C187" s="125">
        <v>1</v>
      </c>
      <c r="D187" s="125">
        <v>42</v>
      </c>
      <c r="E187" s="125">
        <v>7</v>
      </c>
      <c r="F187" s="116">
        <f t="shared" si="2"/>
        <v>50</v>
      </c>
    </row>
    <row r="188" spans="1:6">
      <c r="A188" s="116" t="s">
        <v>546</v>
      </c>
      <c r="B188" s="116" t="s">
        <v>1233</v>
      </c>
      <c r="C188" s="125">
        <v>7</v>
      </c>
      <c r="D188" s="125">
        <v>128</v>
      </c>
      <c r="E188" s="125">
        <v>16</v>
      </c>
      <c r="F188" s="116">
        <f t="shared" si="2"/>
        <v>151</v>
      </c>
    </row>
    <row r="189" spans="1:6">
      <c r="A189" s="116" t="s">
        <v>136</v>
      </c>
      <c r="B189" s="116" t="s">
        <v>1234</v>
      </c>
      <c r="C189" s="125">
        <v>2</v>
      </c>
      <c r="D189" s="125">
        <v>51</v>
      </c>
      <c r="E189" s="125">
        <v>37</v>
      </c>
      <c r="F189" s="116">
        <f t="shared" si="2"/>
        <v>90</v>
      </c>
    </row>
    <row r="190" spans="1:6">
      <c r="A190" s="116" t="s">
        <v>532</v>
      </c>
      <c r="B190" s="116" t="s">
        <v>1235</v>
      </c>
      <c r="C190" s="125">
        <v>33</v>
      </c>
      <c r="D190" s="125">
        <v>352</v>
      </c>
      <c r="E190" s="125">
        <v>142</v>
      </c>
      <c r="F190" s="116">
        <f t="shared" si="2"/>
        <v>527</v>
      </c>
    </row>
    <row r="191" spans="1:6">
      <c r="A191" s="116" t="s">
        <v>551</v>
      </c>
      <c r="B191" s="116" t="s">
        <v>1236</v>
      </c>
      <c r="C191" s="125">
        <v>60</v>
      </c>
      <c r="D191" s="125">
        <v>508</v>
      </c>
      <c r="E191" s="125">
        <v>224</v>
      </c>
      <c r="F191" s="116">
        <f t="shared" si="2"/>
        <v>792</v>
      </c>
    </row>
    <row r="192" spans="1:6">
      <c r="A192" s="116" t="s">
        <v>182</v>
      </c>
      <c r="B192" s="116" t="s">
        <v>1237</v>
      </c>
      <c r="C192" s="125">
        <v>40</v>
      </c>
      <c r="D192" s="125">
        <v>160</v>
      </c>
      <c r="E192" s="125">
        <v>110</v>
      </c>
      <c r="F192" s="116">
        <f t="shared" si="2"/>
        <v>310</v>
      </c>
    </row>
    <row r="193" spans="1:6">
      <c r="A193" s="116" t="s">
        <v>295</v>
      </c>
      <c r="B193" s="116" t="s">
        <v>1238</v>
      </c>
      <c r="C193" s="125">
        <v>4</v>
      </c>
      <c r="D193" s="125">
        <v>70</v>
      </c>
      <c r="E193" s="125">
        <v>15</v>
      </c>
      <c r="F193" s="116">
        <f t="shared" si="2"/>
        <v>89</v>
      </c>
    </row>
    <row r="194" spans="1:6">
      <c r="A194" s="116" t="s">
        <v>138</v>
      </c>
      <c r="B194" s="116" t="s">
        <v>1239</v>
      </c>
      <c r="C194" s="125">
        <v>2</v>
      </c>
      <c r="D194" s="125">
        <v>34</v>
      </c>
      <c r="E194" s="125">
        <v>8</v>
      </c>
      <c r="F194" s="116">
        <f t="shared" si="2"/>
        <v>44</v>
      </c>
    </row>
    <row r="195" spans="1:6">
      <c r="A195" s="116" t="s">
        <v>89</v>
      </c>
      <c r="B195" s="116" t="s">
        <v>1240</v>
      </c>
      <c r="C195" s="125">
        <v>81</v>
      </c>
      <c r="D195" s="125">
        <v>514</v>
      </c>
      <c r="E195" s="125">
        <v>344</v>
      </c>
      <c r="F195" s="116">
        <f t="shared" ref="F195:F258" si="3">C195+D195+E195</f>
        <v>939</v>
      </c>
    </row>
    <row r="196" spans="1:6">
      <c r="A196" s="116" t="s">
        <v>513</v>
      </c>
      <c r="B196" s="116" t="s">
        <v>1241</v>
      </c>
      <c r="C196" s="125">
        <v>210</v>
      </c>
      <c r="D196" s="125">
        <v>1170</v>
      </c>
      <c r="E196" s="125">
        <v>1270</v>
      </c>
      <c r="F196" s="116">
        <f t="shared" si="3"/>
        <v>2650</v>
      </c>
    </row>
    <row r="197" spans="1:6">
      <c r="A197" s="116" t="s">
        <v>126</v>
      </c>
      <c r="B197" s="116" t="s">
        <v>1242</v>
      </c>
      <c r="C197" s="125">
        <v>133</v>
      </c>
      <c r="D197" s="125">
        <v>749</v>
      </c>
      <c r="E197" s="125">
        <v>539</v>
      </c>
      <c r="F197" s="116">
        <f t="shared" si="3"/>
        <v>1421</v>
      </c>
    </row>
    <row r="198" spans="1:6">
      <c r="A198" s="116" t="s">
        <v>90</v>
      </c>
      <c r="B198" s="116" t="s">
        <v>1243</v>
      </c>
      <c r="C198" s="125">
        <v>179</v>
      </c>
      <c r="D198" s="125">
        <v>1442</v>
      </c>
      <c r="E198" s="125">
        <v>846</v>
      </c>
      <c r="F198" s="116">
        <f t="shared" si="3"/>
        <v>2467</v>
      </c>
    </row>
    <row r="199" spans="1:6">
      <c r="A199" s="116" t="s">
        <v>238</v>
      </c>
      <c r="B199" s="116" t="s">
        <v>1244</v>
      </c>
      <c r="C199" s="125">
        <v>250</v>
      </c>
      <c r="D199" s="125">
        <v>1434</v>
      </c>
      <c r="E199" s="125">
        <v>1336</v>
      </c>
      <c r="F199" s="116">
        <f t="shared" si="3"/>
        <v>3020</v>
      </c>
    </row>
    <row r="200" spans="1:6">
      <c r="A200" s="116" t="s">
        <v>471</v>
      </c>
      <c r="B200" s="116" t="s">
        <v>1245</v>
      </c>
      <c r="C200" s="125">
        <v>50</v>
      </c>
      <c r="D200" s="125">
        <v>480</v>
      </c>
      <c r="E200" s="125">
        <v>305</v>
      </c>
      <c r="F200" s="116">
        <f t="shared" si="3"/>
        <v>835</v>
      </c>
    </row>
    <row r="201" spans="1:6">
      <c r="A201" s="116" t="s">
        <v>499</v>
      </c>
      <c r="B201" s="116" t="s">
        <v>1246</v>
      </c>
      <c r="C201" s="125">
        <v>203</v>
      </c>
      <c r="D201" s="125">
        <v>766</v>
      </c>
      <c r="E201" s="125">
        <v>850</v>
      </c>
      <c r="F201" s="116">
        <f t="shared" si="3"/>
        <v>1819</v>
      </c>
    </row>
    <row r="202" spans="1:6">
      <c r="A202" s="116" t="s">
        <v>342</v>
      </c>
      <c r="B202" s="116" t="s">
        <v>1247</v>
      </c>
      <c r="C202" s="125">
        <v>0</v>
      </c>
      <c r="D202" s="125">
        <v>1</v>
      </c>
      <c r="E202" s="125">
        <v>1</v>
      </c>
      <c r="F202" s="116">
        <f t="shared" si="3"/>
        <v>2</v>
      </c>
    </row>
    <row r="203" spans="1:6">
      <c r="A203" s="116" t="s">
        <v>71</v>
      </c>
      <c r="B203" s="116" t="s">
        <v>1248</v>
      </c>
      <c r="C203" s="125">
        <v>28</v>
      </c>
      <c r="D203" s="125">
        <v>563</v>
      </c>
      <c r="E203" s="125">
        <v>180</v>
      </c>
      <c r="F203" s="116">
        <f t="shared" si="3"/>
        <v>771</v>
      </c>
    </row>
    <row r="204" spans="1:6">
      <c r="A204" s="116" t="s">
        <v>79</v>
      </c>
      <c r="B204" s="116" t="s">
        <v>1249</v>
      </c>
      <c r="C204" s="125">
        <v>92.5</v>
      </c>
      <c r="D204" s="125">
        <v>678</v>
      </c>
      <c r="E204" s="125">
        <v>434</v>
      </c>
      <c r="F204" s="116">
        <f t="shared" si="3"/>
        <v>1204.5</v>
      </c>
    </row>
    <row r="205" spans="1:6">
      <c r="A205" s="116" t="s">
        <v>130</v>
      </c>
      <c r="B205" s="116" t="s">
        <v>1250</v>
      </c>
      <c r="C205" s="125">
        <v>40</v>
      </c>
      <c r="D205" s="125">
        <v>250</v>
      </c>
      <c r="E205" s="125">
        <v>170</v>
      </c>
      <c r="F205" s="116">
        <f t="shared" si="3"/>
        <v>460</v>
      </c>
    </row>
    <row r="206" spans="1:6">
      <c r="A206" s="116" t="s">
        <v>7</v>
      </c>
      <c r="B206" s="116" t="s">
        <v>1251</v>
      </c>
      <c r="C206" s="125">
        <v>19.57</v>
      </c>
      <c r="D206" s="125">
        <v>161.86000000000001</v>
      </c>
      <c r="E206" s="125">
        <v>158.71</v>
      </c>
      <c r="F206" s="116">
        <f t="shared" si="3"/>
        <v>340.14</v>
      </c>
    </row>
    <row r="207" spans="1:6">
      <c r="A207" s="116" t="s">
        <v>224</v>
      </c>
      <c r="B207" s="116" t="s">
        <v>1252</v>
      </c>
      <c r="C207" s="125">
        <v>2</v>
      </c>
      <c r="D207" s="125">
        <v>64</v>
      </c>
      <c r="E207" s="125">
        <v>6</v>
      </c>
      <c r="F207" s="116">
        <f t="shared" si="3"/>
        <v>72</v>
      </c>
    </row>
    <row r="208" spans="1:6">
      <c r="A208" s="116" t="s">
        <v>313</v>
      </c>
      <c r="B208" s="116" t="s">
        <v>1253</v>
      </c>
      <c r="C208" s="125">
        <v>46</v>
      </c>
      <c r="D208" s="125">
        <v>195</v>
      </c>
      <c r="E208" s="125">
        <v>175</v>
      </c>
      <c r="F208" s="116">
        <f t="shared" si="3"/>
        <v>416</v>
      </c>
    </row>
    <row r="209" spans="1:6">
      <c r="A209" s="116" t="s">
        <v>57</v>
      </c>
      <c r="B209" s="116" t="s">
        <v>1254</v>
      </c>
      <c r="C209" s="125">
        <v>88</v>
      </c>
      <c r="D209" s="125">
        <v>348</v>
      </c>
      <c r="E209" s="125">
        <v>298</v>
      </c>
      <c r="F209" s="116">
        <f t="shared" si="3"/>
        <v>734</v>
      </c>
    </row>
    <row r="210" spans="1:6">
      <c r="A210" s="116" t="s">
        <v>573</v>
      </c>
      <c r="B210" s="116" t="s">
        <v>1255</v>
      </c>
      <c r="C210" s="125">
        <v>305</v>
      </c>
      <c r="D210" s="125">
        <v>3025</v>
      </c>
      <c r="E210" s="125">
        <v>1445</v>
      </c>
      <c r="F210" s="116">
        <f t="shared" si="3"/>
        <v>4775</v>
      </c>
    </row>
    <row r="211" spans="1:6">
      <c r="A211" s="116" t="s">
        <v>119</v>
      </c>
      <c r="B211" s="116" t="s">
        <v>1256</v>
      </c>
      <c r="C211" s="125">
        <v>0</v>
      </c>
      <c r="D211" s="125">
        <v>0</v>
      </c>
      <c r="E211" s="125">
        <v>4</v>
      </c>
      <c r="F211" s="116">
        <f t="shared" si="3"/>
        <v>4</v>
      </c>
    </row>
    <row r="212" spans="1:6">
      <c r="A212" s="116" t="s">
        <v>441</v>
      </c>
      <c r="B212" s="116" t="s">
        <v>1257</v>
      </c>
      <c r="C212" s="125">
        <v>0</v>
      </c>
      <c r="D212" s="125">
        <v>5</v>
      </c>
      <c r="E212" s="125">
        <v>0</v>
      </c>
      <c r="F212" s="116">
        <f t="shared" si="3"/>
        <v>5</v>
      </c>
    </row>
    <row r="213" spans="1:6">
      <c r="A213" s="116" t="s">
        <v>101</v>
      </c>
      <c r="B213" s="116" t="s">
        <v>1258</v>
      </c>
      <c r="C213" s="125">
        <v>12</v>
      </c>
      <c r="D213" s="125">
        <v>111</v>
      </c>
      <c r="E213" s="125">
        <v>74</v>
      </c>
      <c r="F213" s="116">
        <f t="shared" si="3"/>
        <v>197</v>
      </c>
    </row>
    <row r="214" spans="1:6">
      <c r="A214" s="116" t="s">
        <v>41</v>
      </c>
      <c r="B214" s="116" t="s">
        <v>1259</v>
      </c>
      <c r="C214" s="125">
        <v>35</v>
      </c>
      <c r="D214" s="125">
        <v>180</v>
      </c>
      <c r="E214" s="125">
        <v>70</v>
      </c>
      <c r="F214" s="116">
        <f t="shared" si="3"/>
        <v>285</v>
      </c>
    </row>
    <row r="215" spans="1:6">
      <c r="A215" s="116" t="s">
        <v>39</v>
      </c>
      <c r="B215" s="116" t="s">
        <v>1260</v>
      </c>
      <c r="C215" s="125">
        <v>90</v>
      </c>
      <c r="D215" s="125">
        <v>640</v>
      </c>
      <c r="E215" s="125">
        <v>722</v>
      </c>
      <c r="F215" s="116">
        <f t="shared" si="3"/>
        <v>1452</v>
      </c>
    </row>
    <row r="216" spans="1:6">
      <c r="A216" s="116" t="s">
        <v>283</v>
      </c>
      <c r="B216" s="116" t="s">
        <v>1261</v>
      </c>
      <c r="C216" s="125">
        <v>185</v>
      </c>
      <c r="D216" s="125">
        <v>910</v>
      </c>
      <c r="E216" s="125">
        <v>1110</v>
      </c>
      <c r="F216" s="116">
        <f t="shared" si="3"/>
        <v>2205</v>
      </c>
    </row>
    <row r="217" spans="1:6">
      <c r="A217" s="116" t="s">
        <v>428</v>
      </c>
      <c r="B217" s="116" t="s">
        <v>1262</v>
      </c>
      <c r="C217" s="125">
        <v>10</v>
      </c>
      <c r="D217" s="125">
        <v>83</v>
      </c>
      <c r="E217" s="125">
        <v>26</v>
      </c>
      <c r="F217" s="116">
        <f t="shared" si="3"/>
        <v>119</v>
      </c>
    </row>
    <row r="218" spans="1:6">
      <c r="A218" s="116" t="s">
        <v>289</v>
      </c>
      <c r="B218" s="116" t="s">
        <v>1263</v>
      </c>
      <c r="C218" s="125">
        <v>59</v>
      </c>
      <c r="D218" s="125">
        <v>602</v>
      </c>
      <c r="E218" s="125">
        <v>218</v>
      </c>
      <c r="F218" s="116">
        <f t="shared" si="3"/>
        <v>879</v>
      </c>
    </row>
    <row r="219" spans="1:6">
      <c r="A219" s="116" t="s">
        <v>230</v>
      </c>
      <c r="B219" s="116" t="s">
        <v>1264</v>
      </c>
      <c r="C219" s="125">
        <v>56</v>
      </c>
      <c r="D219" s="125">
        <v>285</v>
      </c>
      <c r="E219" s="125">
        <v>244</v>
      </c>
      <c r="F219" s="116">
        <f t="shared" si="3"/>
        <v>585</v>
      </c>
    </row>
    <row r="220" spans="1:6">
      <c r="A220" s="116" t="s">
        <v>462</v>
      </c>
      <c r="B220" s="116" t="s">
        <v>1265</v>
      </c>
      <c r="C220" s="125">
        <v>2</v>
      </c>
      <c r="D220" s="125">
        <v>42</v>
      </c>
      <c r="E220" s="125">
        <v>26</v>
      </c>
      <c r="F220" s="116">
        <f t="shared" si="3"/>
        <v>70</v>
      </c>
    </row>
    <row r="221" spans="1:6">
      <c r="A221" s="116" t="s">
        <v>298</v>
      </c>
      <c r="B221" s="116" t="s">
        <v>1266</v>
      </c>
      <c r="C221" s="125">
        <v>40.229999999999997</v>
      </c>
      <c r="D221" s="125">
        <v>335.74</v>
      </c>
      <c r="E221" s="125">
        <v>86.58</v>
      </c>
      <c r="F221" s="116">
        <f t="shared" si="3"/>
        <v>462.55</v>
      </c>
    </row>
    <row r="222" spans="1:6">
      <c r="A222" s="116" t="s">
        <v>355</v>
      </c>
      <c r="B222" s="116" t="s">
        <v>1267</v>
      </c>
      <c r="C222" s="125">
        <v>30</v>
      </c>
      <c r="D222" s="125">
        <v>169</v>
      </c>
      <c r="E222" s="125">
        <v>111</v>
      </c>
      <c r="F222" s="116">
        <f t="shared" si="3"/>
        <v>310</v>
      </c>
    </row>
    <row r="223" spans="1:6">
      <c r="A223" s="116" t="s">
        <v>380</v>
      </c>
      <c r="B223" s="116" t="s">
        <v>1268</v>
      </c>
      <c r="C223" s="125">
        <v>15</v>
      </c>
      <c r="D223" s="125">
        <v>135</v>
      </c>
      <c r="E223" s="125">
        <v>60</v>
      </c>
      <c r="F223" s="116">
        <f t="shared" si="3"/>
        <v>210</v>
      </c>
    </row>
    <row r="224" spans="1:6">
      <c r="A224" s="116" t="s">
        <v>937</v>
      </c>
      <c r="B224" s="116" t="s">
        <v>993</v>
      </c>
      <c r="C224" s="125">
        <v>0</v>
      </c>
      <c r="D224" s="125">
        <v>82</v>
      </c>
      <c r="E224" s="125">
        <v>3</v>
      </c>
      <c r="F224" s="116">
        <f t="shared" si="3"/>
        <v>85</v>
      </c>
    </row>
    <row r="225" spans="1:6">
      <c r="A225" s="116" t="s">
        <v>1052</v>
      </c>
      <c r="B225" s="116" t="s">
        <v>1269</v>
      </c>
      <c r="C225" s="125">
        <v>0</v>
      </c>
      <c r="D225" s="125">
        <v>0</v>
      </c>
      <c r="E225" s="125">
        <v>9</v>
      </c>
      <c r="F225" s="116">
        <f t="shared" si="3"/>
        <v>9</v>
      </c>
    </row>
    <row r="226" spans="1:6">
      <c r="A226" s="116" t="s">
        <v>936</v>
      </c>
      <c r="B226" s="116" t="s">
        <v>1270</v>
      </c>
      <c r="C226" s="125">
        <v>0</v>
      </c>
      <c r="D226" s="125">
        <v>90</v>
      </c>
      <c r="E226" s="125">
        <v>0</v>
      </c>
      <c r="F226" s="116">
        <f t="shared" si="3"/>
        <v>90</v>
      </c>
    </row>
    <row r="227" spans="1:6">
      <c r="A227" s="116" t="s">
        <v>1271</v>
      </c>
      <c r="B227" s="116" t="s">
        <v>1272</v>
      </c>
      <c r="C227" s="125">
        <v>0</v>
      </c>
      <c r="D227" s="125">
        <v>0</v>
      </c>
      <c r="E227" s="125">
        <v>0</v>
      </c>
      <c r="F227" s="116">
        <f t="shared" si="3"/>
        <v>0</v>
      </c>
    </row>
    <row r="228" spans="1:6">
      <c r="A228" s="116" t="s">
        <v>116</v>
      </c>
      <c r="B228" s="116" t="s">
        <v>1273</v>
      </c>
      <c r="C228" s="125">
        <v>0</v>
      </c>
      <c r="D228" s="125">
        <v>5</v>
      </c>
      <c r="E228" s="125">
        <v>0</v>
      </c>
      <c r="F228" s="116">
        <f t="shared" si="3"/>
        <v>5</v>
      </c>
    </row>
    <row r="229" spans="1:6">
      <c r="A229" s="116" t="s">
        <v>291</v>
      </c>
      <c r="B229" s="116" t="s">
        <v>1274</v>
      </c>
      <c r="C229" s="125">
        <v>5</v>
      </c>
      <c r="D229" s="125">
        <v>89</v>
      </c>
      <c r="E229" s="125">
        <v>38</v>
      </c>
      <c r="F229" s="116">
        <f t="shared" si="3"/>
        <v>132</v>
      </c>
    </row>
    <row r="230" spans="1:6">
      <c r="A230" s="116" t="s">
        <v>522</v>
      </c>
      <c r="B230" s="116" t="s">
        <v>1275</v>
      </c>
      <c r="C230" s="125">
        <v>5</v>
      </c>
      <c r="D230" s="125">
        <v>60</v>
      </c>
      <c r="E230" s="125">
        <v>5</v>
      </c>
      <c r="F230" s="116">
        <f t="shared" si="3"/>
        <v>70</v>
      </c>
    </row>
    <row r="231" spans="1:6">
      <c r="A231" s="116" t="s">
        <v>278</v>
      </c>
      <c r="B231" s="116" t="s">
        <v>1276</v>
      </c>
      <c r="C231" s="125">
        <v>5</v>
      </c>
      <c r="D231" s="125">
        <v>96</v>
      </c>
      <c r="E231" s="125">
        <v>13</v>
      </c>
      <c r="F231" s="116">
        <f t="shared" si="3"/>
        <v>114</v>
      </c>
    </row>
    <row r="232" spans="1:6">
      <c r="A232" s="116" t="s">
        <v>134</v>
      </c>
      <c r="B232" s="116" t="s">
        <v>1277</v>
      </c>
      <c r="C232" s="125">
        <v>19.5</v>
      </c>
      <c r="D232" s="125">
        <v>158</v>
      </c>
      <c r="E232" s="125">
        <v>90</v>
      </c>
      <c r="F232" s="116">
        <f t="shared" si="3"/>
        <v>267.5</v>
      </c>
    </row>
    <row r="233" spans="1:6">
      <c r="A233" s="116" t="s">
        <v>468</v>
      </c>
      <c r="B233" s="116" t="s">
        <v>1278</v>
      </c>
      <c r="C233" s="125">
        <v>0</v>
      </c>
      <c r="D233" s="125">
        <v>6</v>
      </c>
      <c r="E233" s="125">
        <v>8</v>
      </c>
      <c r="F233" s="116">
        <f t="shared" si="3"/>
        <v>14</v>
      </c>
    </row>
    <row r="234" spans="1:6">
      <c r="A234" s="116" t="s">
        <v>9</v>
      </c>
      <c r="B234" s="116" t="s">
        <v>1279</v>
      </c>
      <c r="C234" s="125">
        <v>0</v>
      </c>
      <c r="D234" s="125">
        <v>6</v>
      </c>
      <c r="E234" s="125">
        <v>5</v>
      </c>
      <c r="F234" s="116">
        <f t="shared" si="3"/>
        <v>11</v>
      </c>
    </row>
    <row r="235" spans="1:6">
      <c r="A235" s="116" t="s">
        <v>516</v>
      </c>
      <c r="B235" s="116" t="s">
        <v>1280</v>
      </c>
      <c r="C235" s="125">
        <v>0</v>
      </c>
      <c r="D235" s="125">
        <v>2</v>
      </c>
      <c r="E235" s="125">
        <v>0</v>
      </c>
      <c r="F235" s="116">
        <f t="shared" si="3"/>
        <v>2</v>
      </c>
    </row>
    <row r="236" spans="1:6">
      <c r="A236" s="116" t="s">
        <v>150</v>
      </c>
      <c r="B236" s="116" t="s">
        <v>1281</v>
      </c>
      <c r="C236" s="125">
        <v>2</v>
      </c>
      <c r="D236" s="125">
        <v>15</v>
      </c>
      <c r="E236" s="125">
        <v>2</v>
      </c>
      <c r="F236" s="116">
        <f t="shared" si="3"/>
        <v>19</v>
      </c>
    </row>
    <row r="237" spans="1:6">
      <c r="A237" s="116" t="s">
        <v>497</v>
      </c>
      <c r="B237" s="116" t="s">
        <v>1282</v>
      </c>
      <c r="C237" s="125">
        <v>4</v>
      </c>
      <c r="D237" s="125">
        <v>50</v>
      </c>
      <c r="E237" s="125">
        <v>25</v>
      </c>
      <c r="F237" s="116">
        <f t="shared" si="3"/>
        <v>79</v>
      </c>
    </row>
    <row r="238" spans="1:6">
      <c r="A238" s="116" t="s">
        <v>320</v>
      </c>
      <c r="B238" s="116" t="s">
        <v>1283</v>
      </c>
      <c r="C238" s="125">
        <v>0</v>
      </c>
      <c r="D238" s="125">
        <v>18</v>
      </c>
      <c r="E238" s="125">
        <v>5</v>
      </c>
      <c r="F238" s="116">
        <f t="shared" si="3"/>
        <v>23</v>
      </c>
    </row>
    <row r="239" spans="1:6">
      <c r="A239" s="116" t="s">
        <v>479</v>
      </c>
      <c r="B239" s="116" t="s">
        <v>1284</v>
      </c>
      <c r="C239" s="125">
        <v>10</v>
      </c>
      <c r="D239" s="125">
        <v>117</v>
      </c>
      <c r="E239" s="125">
        <v>23</v>
      </c>
      <c r="F239" s="116">
        <f t="shared" si="3"/>
        <v>150</v>
      </c>
    </row>
    <row r="240" spans="1:6">
      <c r="A240" s="116" t="s">
        <v>181</v>
      </c>
      <c r="B240" s="116" t="s">
        <v>1285</v>
      </c>
      <c r="C240" s="125">
        <v>75</v>
      </c>
      <c r="D240" s="125">
        <v>605</v>
      </c>
      <c r="E240" s="125">
        <v>175</v>
      </c>
      <c r="F240" s="116">
        <f t="shared" si="3"/>
        <v>855</v>
      </c>
    </row>
    <row r="241" spans="1:6">
      <c r="A241" s="116" t="s">
        <v>318</v>
      </c>
      <c r="B241" s="116" t="s">
        <v>1286</v>
      </c>
      <c r="C241" s="125">
        <v>211.8</v>
      </c>
      <c r="D241" s="125">
        <v>1240.8</v>
      </c>
      <c r="E241" s="125">
        <v>884.2</v>
      </c>
      <c r="F241" s="116">
        <f t="shared" si="3"/>
        <v>2336.8000000000002</v>
      </c>
    </row>
    <row r="242" spans="1:6">
      <c r="A242" s="116" t="s">
        <v>189</v>
      </c>
      <c r="B242" s="116" t="s">
        <v>1287</v>
      </c>
      <c r="C242" s="125">
        <v>33</v>
      </c>
      <c r="D242" s="125">
        <v>493</v>
      </c>
      <c r="E242" s="125">
        <v>377</v>
      </c>
      <c r="F242" s="116">
        <f t="shared" si="3"/>
        <v>903</v>
      </c>
    </row>
    <row r="243" spans="1:6">
      <c r="A243" s="116" t="s">
        <v>110</v>
      </c>
      <c r="B243" s="116" t="s">
        <v>1288</v>
      </c>
      <c r="C243" s="125">
        <v>110</v>
      </c>
      <c r="D243" s="125">
        <v>841</v>
      </c>
      <c r="E243" s="125">
        <v>650</v>
      </c>
      <c r="F243" s="116">
        <f t="shared" si="3"/>
        <v>1601</v>
      </c>
    </row>
    <row r="244" spans="1:6">
      <c r="A244" s="116" t="s">
        <v>364</v>
      </c>
      <c r="B244" s="116" t="s">
        <v>1289</v>
      </c>
      <c r="C244" s="125">
        <v>10</v>
      </c>
      <c r="D244" s="125">
        <v>90</v>
      </c>
      <c r="E244" s="125">
        <v>36</v>
      </c>
      <c r="F244" s="116">
        <f t="shared" si="3"/>
        <v>136</v>
      </c>
    </row>
    <row r="245" spans="1:6">
      <c r="A245" s="116" t="s">
        <v>445</v>
      </c>
      <c r="B245" s="116" t="s">
        <v>1290</v>
      </c>
      <c r="C245" s="125">
        <v>2</v>
      </c>
      <c r="D245" s="125">
        <v>50</v>
      </c>
      <c r="E245" s="125">
        <v>13</v>
      </c>
      <c r="F245" s="116">
        <f t="shared" si="3"/>
        <v>65</v>
      </c>
    </row>
    <row r="246" spans="1:6">
      <c r="A246" s="116" t="s">
        <v>270</v>
      </c>
      <c r="B246" s="116" t="s">
        <v>1291</v>
      </c>
      <c r="C246" s="125">
        <v>30</v>
      </c>
      <c r="D246" s="125">
        <v>180</v>
      </c>
      <c r="E246" s="125">
        <v>90</v>
      </c>
      <c r="F246" s="116">
        <f t="shared" si="3"/>
        <v>300</v>
      </c>
    </row>
    <row r="247" spans="1:6">
      <c r="A247" s="116" t="s">
        <v>258</v>
      </c>
      <c r="B247" s="116" t="s">
        <v>1292</v>
      </c>
      <c r="C247" s="125">
        <v>12</v>
      </c>
      <c r="D247" s="125">
        <v>91</v>
      </c>
      <c r="E247" s="125">
        <v>98</v>
      </c>
      <c r="F247" s="116">
        <f t="shared" si="3"/>
        <v>201</v>
      </c>
    </row>
    <row r="248" spans="1:6">
      <c r="A248" s="116" t="s">
        <v>957</v>
      </c>
      <c r="B248" s="116" t="s">
        <v>1293</v>
      </c>
      <c r="C248" s="125">
        <v>0</v>
      </c>
      <c r="D248" s="125">
        <v>4</v>
      </c>
      <c r="E248" s="125">
        <v>20</v>
      </c>
      <c r="F248" s="116">
        <f t="shared" si="3"/>
        <v>24</v>
      </c>
    </row>
    <row r="249" spans="1:6">
      <c r="A249" s="116" t="s">
        <v>1294</v>
      </c>
      <c r="B249" s="116" t="s">
        <v>1295</v>
      </c>
      <c r="C249" s="125">
        <v>0</v>
      </c>
      <c r="D249" s="125">
        <v>0</v>
      </c>
      <c r="E249" s="125">
        <v>0</v>
      </c>
      <c r="F249" s="116">
        <f t="shared" si="3"/>
        <v>0</v>
      </c>
    </row>
    <row r="250" spans="1:6">
      <c r="A250" s="116" t="s">
        <v>587</v>
      </c>
      <c r="B250" s="116" t="s">
        <v>1296</v>
      </c>
      <c r="C250" s="125">
        <v>0</v>
      </c>
      <c r="D250" s="125">
        <v>0</v>
      </c>
      <c r="E250" s="125">
        <v>0</v>
      </c>
      <c r="F250" s="116">
        <f t="shared" si="3"/>
        <v>0</v>
      </c>
    </row>
    <row r="251" spans="1:6">
      <c r="A251" s="116" t="s">
        <v>837</v>
      </c>
      <c r="B251" s="116" t="s">
        <v>1297</v>
      </c>
      <c r="C251" s="125">
        <v>0</v>
      </c>
      <c r="D251" s="125">
        <v>0</v>
      </c>
      <c r="E251" s="125">
        <v>0</v>
      </c>
      <c r="F251" s="116">
        <f t="shared" si="3"/>
        <v>0</v>
      </c>
    </row>
    <row r="252" spans="1:6">
      <c r="A252" s="116" t="s">
        <v>509</v>
      </c>
      <c r="B252" s="116" t="s">
        <v>1298</v>
      </c>
      <c r="C252" s="125">
        <v>39</v>
      </c>
      <c r="D252" s="125">
        <v>481</v>
      </c>
      <c r="E252" s="125">
        <v>323</v>
      </c>
      <c r="F252" s="116">
        <f t="shared" si="3"/>
        <v>843</v>
      </c>
    </row>
    <row r="253" spans="1:6">
      <c r="A253" s="116" t="s">
        <v>29</v>
      </c>
      <c r="B253" s="116" t="s">
        <v>1299</v>
      </c>
      <c r="C253" s="125">
        <v>32</v>
      </c>
      <c r="D253" s="125">
        <v>33</v>
      </c>
      <c r="E253" s="125">
        <v>171</v>
      </c>
      <c r="F253" s="116">
        <f t="shared" si="3"/>
        <v>236</v>
      </c>
    </row>
    <row r="254" spans="1:6">
      <c r="A254" s="116" t="s">
        <v>268</v>
      </c>
      <c r="B254" s="116" t="s">
        <v>1300</v>
      </c>
      <c r="C254" s="125">
        <v>3</v>
      </c>
      <c r="D254" s="125">
        <v>23</v>
      </c>
      <c r="E254" s="125">
        <v>1</v>
      </c>
      <c r="F254" s="116">
        <f t="shared" si="3"/>
        <v>27</v>
      </c>
    </row>
    <row r="255" spans="1:6">
      <c r="A255" s="116" t="s">
        <v>133</v>
      </c>
      <c r="B255" s="116" t="s">
        <v>1301</v>
      </c>
      <c r="C255" s="125">
        <v>10</v>
      </c>
      <c r="D255" s="125">
        <v>73</v>
      </c>
      <c r="E255" s="125">
        <v>22</v>
      </c>
      <c r="F255" s="116">
        <f t="shared" si="3"/>
        <v>105</v>
      </c>
    </row>
    <row r="256" spans="1:6">
      <c r="A256" s="116" t="s">
        <v>386</v>
      </c>
      <c r="B256" s="116" t="s">
        <v>1303</v>
      </c>
      <c r="C256" s="125">
        <v>7</v>
      </c>
      <c r="D256" s="125">
        <v>28</v>
      </c>
      <c r="E256" s="125">
        <v>8</v>
      </c>
      <c r="F256" s="116">
        <f t="shared" si="3"/>
        <v>43</v>
      </c>
    </row>
    <row r="257" spans="1:6">
      <c r="A257" s="116" t="s">
        <v>197</v>
      </c>
      <c r="B257" s="116" t="s">
        <v>1304</v>
      </c>
      <c r="C257" s="125">
        <v>41</v>
      </c>
      <c r="D257" s="125">
        <v>1359</v>
      </c>
      <c r="E257" s="125">
        <v>378</v>
      </c>
      <c r="F257" s="116">
        <f t="shared" si="3"/>
        <v>1778</v>
      </c>
    </row>
    <row r="258" spans="1:6">
      <c r="A258" s="116" t="s">
        <v>420</v>
      </c>
      <c r="B258" s="116" t="s">
        <v>1305</v>
      </c>
      <c r="C258" s="125">
        <v>54</v>
      </c>
      <c r="D258" s="125">
        <v>367</v>
      </c>
      <c r="E258" s="125">
        <v>248</v>
      </c>
      <c r="F258" s="116">
        <f t="shared" si="3"/>
        <v>669</v>
      </c>
    </row>
    <row r="259" spans="1:6">
      <c r="A259" s="116" t="s">
        <v>14</v>
      </c>
      <c r="B259" s="116" t="s">
        <v>1306</v>
      </c>
      <c r="C259" s="125">
        <v>45</v>
      </c>
      <c r="D259" s="125">
        <v>235</v>
      </c>
      <c r="E259" s="125">
        <v>60</v>
      </c>
      <c r="F259" s="116">
        <f t="shared" ref="F259:F295" si="4">C259+D259+E259</f>
        <v>340</v>
      </c>
    </row>
    <row r="260" spans="1:6">
      <c r="A260" s="116" t="s">
        <v>488</v>
      </c>
      <c r="B260" s="116" t="s">
        <v>1307</v>
      </c>
      <c r="C260" s="125">
        <v>50</v>
      </c>
      <c r="D260" s="125">
        <v>340</v>
      </c>
      <c r="E260" s="125">
        <v>108</v>
      </c>
      <c r="F260" s="116">
        <f t="shared" si="4"/>
        <v>498</v>
      </c>
    </row>
    <row r="261" spans="1:6">
      <c r="A261" s="116" t="s">
        <v>45</v>
      </c>
      <c r="B261" s="116" t="s">
        <v>1308</v>
      </c>
      <c r="C261" s="125">
        <v>20</v>
      </c>
      <c r="D261" s="125">
        <v>144</v>
      </c>
      <c r="E261" s="125">
        <v>53</v>
      </c>
      <c r="F261" s="116">
        <f t="shared" si="4"/>
        <v>217</v>
      </c>
    </row>
    <row r="262" spans="1:6">
      <c r="A262" s="116" t="s">
        <v>103</v>
      </c>
      <c r="B262" s="116" t="s">
        <v>1309</v>
      </c>
      <c r="C262" s="125">
        <v>31</v>
      </c>
      <c r="D262" s="125">
        <v>190</v>
      </c>
      <c r="E262" s="125">
        <v>95</v>
      </c>
      <c r="F262" s="116">
        <f t="shared" si="4"/>
        <v>316</v>
      </c>
    </row>
    <row r="263" spans="1:6">
      <c r="A263" s="116" t="s">
        <v>211</v>
      </c>
      <c r="B263" s="116" t="s">
        <v>1310</v>
      </c>
      <c r="C263" s="125">
        <v>25</v>
      </c>
      <c r="D263" s="125">
        <v>210</v>
      </c>
      <c r="E263" s="125">
        <v>67</v>
      </c>
      <c r="F263" s="116">
        <f t="shared" si="4"/>
        <v>302</v>
      </c>
    </row>
    <row r="264" spans="1:6">
      <c r="A264" s="116" t="s">
        <v>1311</v>
      </c>
      <c r="B264" s="116" t="s">
        <v>1312</v>
      </c>
      <c r="C264" s="125">
        <v>0</v>
      </c>
      <c r="D264" s="125">
        <v>12.28</v>
      </c>
      <c r="E264" s="125">
        <v>0</v>
      </c>
      <c r="F264" s="116">
        <f t="shared" si="4"/>
        <v>12.28</v>
      </c>
    </row>
    <row r="265" spans="1:6">
      <c r="A265" s="116" t="s">
        <v>931</v>
      </c>
      <c r="B265" s="116" t="s">
        <v>1313</v>
      </c>
      <c r="C265" s="125">
        <v>16.22</v>
      </c>
      <c r="D265" s="125">
        <v>88.89</v>
      </c>
      <c r="E265" s="125">
        <v>23.89</v>
      </c>
      <c r="F265" s="116">
        <f t="shared" si="4"/>
        <v>129</v>
      </c>
    </row>
    <row r="266" spans="1:6">
      <c r="A266" s="116" t="s">
        <v>123</v>
      </c>
      <c r="B266" s="116" t="s">
        <v>1314</v>
      </c>
      <c r="C266" s="125">
        <v>1</v>
      </c>
      <c r="D266" s="125">
        <v>9</v>
      </c>
      <c r="E266" s="125">
        <v>2</v>
      </c>
      <c r="F266" s="116">
        <f t="shared" si="4"/>
        <v>12</v>
      </c>
    </row>
    <row r="267" spans="1:6">
      <c r="A267" s="116" t="s">
        <v>132</v>
      </c>
      <c r="B267" s="116" t="s">
        <v>1315</v>
      </c>
      <c r="C267" s="125">
        <v>0</v>
      </c>
      <c r="D267" s="125">
        <v>4</v>
      </c>
      <c r="E267" s="125">
        <v>3</v>
      </c>
      <c r="F267" s="116">
        <f t="shared" si="4"/>
        <v>7</v>
      </c>
    </row>
    <row r="268" spans="1:6">
      <c r="A268" s="116" t="s">
        <v>256</v>
      </c>
      <c r="B268" s="116" t="s">
        <v>1316</v>
      </c>
      <c r="C268" s="125">
        <v>1</v>
      </c>
      <c r="D268" s="125">
        <v>31</v>
      </c>
      <c r="E268" s="125">
        <v>9</v>
      </c>
      <c r="F268" s="116">
        <f t="shared" si="4"/>
        <v>41</v>
      </c>
    </row>
    <row r="269" spans="1:6">
      <c r="A269" s="116" t="s">
        <v>350</v>
      </c>
      <c r="B269" s="116" t="s">
        <v>1317</v>
      </c>
      <c r="C269" s="125">
        <v>40</v>
      </c>
      <c r="D269" s="125">
        <v>230</v>
      </c>
      <c r="E269" s="125">
        <v>77</v>
      </c>
      <c r="F269" s="116">
        <f t="shared" si="4"/>
        <v>347</v>
      </c>
    </row>
    <row r="270" spans="1:6">
      <c r="A270" s="116" t="s">
        <v>27</v>
      </c>
      <c r="B270" s="116" t="s">
        <v>1318</v>
      </c>
      <c r="C270" s="125">
        <v>5</v>
      </c>
      <c r="D270" s="125">
        <v>50</v>
      </c>
      <c r="E270" s="125">
        <v>20</v>
      </c>
      <c r="F270" s="116">
        <f t="shared" si="4"/>
        <v>75</v>
      </c>
    </row>
    <row r="271" spans="1:6">
      <c r="A271" s="116" t="s">
        <v>0</v>
      </c>
      <c r="B271" s="116" t="s">
        <v>1319</v>
      </c>
      <c r="C271" s="125">
        <v>0</v>
      </c>
      <c r="D271" s="125">
        <v>14</v>
      </c>
      <c r="E271" s="125">
        <v>5</v>
      </c>
      <c r="F271" s="116">
        <f t="shared" si="4"/>
        <v>19</v>
      </c>
    </row>
    <row r="272" spans="1:6">
      <c r="A272" s="116" t="s">
        <v>430</v>
      </c>
      <c r="B272" s="116" t="s">
        <v>1320</v>
      </c>
      <c r="C272" s="125">
        <v>1</v>
      </c>
      <c r="D272" s="125">
        <v>11</v>
      </c>
      <c r="E272" s="125">
        <v>2</v>
      </c>
      <c r="F272" s="116">
        <f t="shared" si="4"/>
        <v>14</v>
      </c>
    </row>
    <row r="273" spans="1:6">
      <c r="A273" s="116" t="s">
        <v>66</v>
      </c>
      <c r="B273" s="116" t="s">
        <v>1321</v>
      </c>
      <c r="C273" s="125">
        <v>0</v>
      </c>
      <c r="D273" s="125">
        <v>5</v>
      </c>
      <c r="E273" s="125">
        <v>0</v>
      </c>
      <c r="F273" s="116">
        <f t="shared" si="4"/>
        <v>5</v>
      </c>
    </row>
    <row r="274" spans="1:6">
      <c r="A274" s="116" t="s">
        <v>148</v>
      </c>
      <c r="B274" s="116" t="s">
        <v>1322</v>
      </c>
      <c r="C274" s="125">
        <v>2</v>
      </c>
      <c r="D274" s="125">
        <v>22</v>
      </c>
      <c r="E274" s="125">
        <v>1</v>
      </c>
      <c r="F274" s="116">
        <f t="shared" si="4"/>
        <v>25</v>
      </c>
    </row>
    <row r="275" spans="1:6">
      <c r="A275" s="116" t="s">
        <v>411</v>
      </c>
      <c r="B275" s="116" t="s">
        <v>1323</v>
      </c>
      <c r="C275" s="125">
        <v>2</v>
      </c>
      <c r="D275" s="125">
        <v>8</v>
      </c>
      <c r="E275" s="125">
        <v>6</v>
      </c>
      <c r="F275" s="116">
        <f t="shared" si="4"/>
        <v>16</v>
      </c>
    </row>
    <row r="276" spans="1:6">
      <c r="A276" s="116" t="s">
        <v>274</v>
      </c>
      <c r="B276" s="116" t="s">
        <v>1324</v>
      </c>
      <c r="C276" s="125">
        <v>0</v>
      </c>
      <c r="D276" s="125">
        <v>18</v>
      </c>
      <c r="E276" s="125">
        <v>7</v>
      </c>
      <c r="F276" s="116">
        <f t="shared" si="4"/>
        <v>25</v>
      </c>
    </row>
    <row r="277" spans="1:6">
      <c r="A277" s="116" t="s">
        <v>543</v>
      </c>
      <c r="B277" s="116" t="s">
        <v>1325</v>
      </c>
      <c r="C277" s="125">
        <v>0</v>
      </c>
      <c r="D277" s="125">
        <v>16</v>
      </c>
      <c r="E277" s="125">
        <v>4</v>
      </c>
      <c r="F277" s="116">
        <f t="shared" si="4"/>
        <v>20</v>
      </c>
    </row>
    <row r="278" spans="1:6">
      <c r="A278" s="116" t="s">
        <v>326</v>
      </c>
      <c r="B278" s="116" t="s">
        <v>1326</v>
      </c>
      <c r="C278" s="125">
        <v>0</v>
      </c>
      <c r="D278" s="125">
        <v>15</v>
      </c>
      <c r="E278" s="125">
        <v>5</v>
      </c>
      <c r="F278" s="116">
        <f t="shared" si="4"/>
        <v>20</v>
      </c>
    </row>
    <row r="279" spans="1:6">
      <c r="A279" s="116" t="s">
        <v>1518</v>
      </c>
      <c r="B279" s="116" t="s">
        <v>1570</v>
      </c>
      <c r="C279" s="125">
        <v>0</v>
      </c>
      <c r="D279" s="125">
        <v>15</v>
      </c>
      <c r="E279" s="125">
        <v>0</v>
      </c>
      <c r="F279" s="116">
        <f t="shared" si="4"/>
        <v>15</v>
      </c>
    </row>
    <row r="280" spans="1:6">
      <c r="A280" s="116" t="s">
        <v>191</v>
      </c>
      <c r="B280" s="116" t="s">
        <v>1327</v>
      </c>
      <c r="C280" s="125">
        <v>6</v>
      </c>
      <c r="D280" s="125">
        <v>56</v>
      </c>
      <c r="E280" s="125">
        <v>16</v>
      </c>
      <c r="F280" s="116">
        <f t="shared" si="4"/>
        <v>78</v>
      </c>
    </row>
    <row r="281" spans="1:6">
      <c r="A281" s="116" t="s">
        <v>92</v>
      </c>
      <c r="B281" s="116" t="s">
        <v>1328</v>
      </c>
      <c r="C281" s="125">
        <v>18</v>
      </c>
      <c r="D281" s="125">
        <v>121</v>
      </c>
      <c r="E281" s="125">
        <v>41</v>
      </c>
      <c r="F281" s="116">
        <f t="shared" si="4"/>
        <v>180</v>
      </c>
    </row>
    <row r="282" spans="1:6">
      <c r="A282" s="116" t="s">
        <v>179</v>
      </c>
      <c r="B282" s="116" t="s">
        <v>1329</v>
      </c>
      <c r="C282" s="125">
        <v>195</v>
      </c>
      <c r="D282" s="125">
        <v>1029</v>
      </c>
      <c r="E282" s="125">
        <v>870</v>
      </c>
      <c r="F282" s="116">
        <f t="shared" si="4"/>
        <v>2094</v>
      </c>
    </row>
    <row r="283" spans="1:6">
      <c r="A283" s="116" t="s">
        <v>231</v>
      </c>
      <c r="B283" s="116" t="s">
        <v>1330</v>
      </c>
      <c r="C283" s="125">
        <v>38</v>
      </c>
      <c r="D283" s="125">
        <v>205</v>
      </c>
      <c r="E283" s="125">
        <v>170</v>
      </c>
      <c r="F283" s="116">
        <f t="shared" si="4"/>
        <v>413</v>
      </c>
    </row>
    <row r="284" spans="1:6">
      <c r="A284" s="116" t="s">
        <v>553</v>
      </c>
      <c r="B284" s="116" t="s">
        <v>1331</v>
      </c>
      <c r="C284" s="125">
        <v>36</v>
      </c>
      <c r="D284" s="125">
        <v>374</v>
      </c>
      <c r="E284" s="125">
        <v>64</v>
      </c>
      <c r="F284" s="116">
        <f t="shared" si="4"/>
        <v>474</v>
      </c>
    </row>
    <row r="285" spans="1:6">
      <c r="A285" s="116" t="s">
        <v>490</v>
      </c>
      <c r="B285" s="116" t="s">
        <v>1332</v>
      </c>
      <c r="C285" s="125">
        <v>7</v>
      </c>
      <c r="D285" s="125">
        <v>30</v>
      </c>
      <c r="E285" s="125">
        <v>50</v>
      </c>
      <c r="F285" s="116">
        <f t="shared" si="4"/>
        <v>87</v>
      </c>
    </row>
    <row r="286" spans="1:6">
      <c r="A286" s="116" t="s">
        <v>219</v>
      </c>
      <c r="B286" s="116" t="s">
        <v>1333</v>
      </c>
      <c r="C286" s="125">
        <v>33</v>
      </c>
      <c r="D286" s="125">
        <v>235</v>
      </c>
      <c r="E286" s="125">
        <v>275</v>
      </c>
      <c r="F286" s="116">
        <f t="shared" si="4"/>
        <v>543</v>
      </c>
    </row>
    <row r="287" spans="1:6">
      <c r="A287" s="116" t="s">
        <v>248</v>
      </c>
      <c r="B287" s="116" t="s">
        <v>1334</v>
      </c>
      <c r="C287" s="125">
        <v>50</v>
      </c>
      <c r="D287" s="125">
        <v>370</v>
      </c>
      <c r="E287" s="125">
        <v>492</v>
      </c>
      <c r="F287" s="116">
        <f t="shared" si="4"/>
        <v>912</v>
      </c>
    </row>
    <row r="288" spans="1:6">
      <c r="A288" s="116" t="s">
        <v>266</v>
      </c>
      <c r="B288" s="116" t="s">
        <v>1335</v>
      </c>
      <c r="C288" s="125">
        <v>27</v>
      </c>
      <c r="D288" s="125">
        <v>487</v>
      </c>
      <c r="E288" s="125">
        <v>20</v>
      </c>
      <c r="F288" s="116">
        <f t="shared" si="4"/>
        <v>534</v>
      </c>
    </row>
    <row r="289" spans="1:6">
      <c r="A289" s="116" t="s">
        <v>449</v>
      </c>
      <c r="B289" s="116" t="s">
        <v>1336</v>
      </c>
      <c r="C289" s="125">
        <v>10</v>
      </c>
      <c r="D289" s="125">
        <v>82</v>
      </c>
      <c r="E289" s="125">
        <v>38</v>
      </c>
      <c r="F289" s="116">
        <f t="shared" si="4"/>
        <v>130</v>
      </c>
    </row>
    <row r="290" spans="1:6">
      <c r="A290" s="116" t="s">
        <v>221</v>
      </c>
      <c r="B290" s="116" t="s">
        <v>1337</v>
      </c>
      <c r="C290" s="125">
        <v>20</v>
      </c>
      <c r="D290" s="125">
        <v>80</v>
      </c>
      <c r="E290" s="125">
        <v>90</v>
      </c>
      <c r="F290" s="116">
        <f t="shared" si="4"/>
        <v>190</v>
      </c>
    </row>
    <row r="291" spans="1:6">
      <c r="A291" s="116" t="s">
        <v>407</v>
      </c>
      <c r="B291" s="116" t="s">
        <v>1338</v>
      </c>
      <c r="C291" s="125">
        <v>10</v>
      </c>
      <c r="D291" s="125">
        <v>125</v>
      </c>
      <c r="E291" s="125">
        <v>0</v>
      </c>
      <c r="F291" s="116">
        <f t="shared" si="4"/>
        <v>135</v>
      </c>
    </row>
    <row r="292" spans="1:6">
      <c r="A292" s="116" t="s">
        <v>511</v>
      </c>
      <c r="B292" s="116" t="s">
        <v>1339</v>
      </c>
      <c r="C292" s="125">
        <v>30</v>
      </c>
      <c r="D292" s="125">
        <v>270</v>
      </c>
      <c r="E292" s="125">
        <v>115</v>
      </c>
      <c r="F292" s="116">
        <f t="shared" si="4"/>
        <v>415</v>
      </c>
    </row>
    <row r="293" spans="1:6">
      <c r="A293" s="116" t="s">
        <v>299</v>
      </c>
      <c r="B293" s="116" t="s">
        <v>1340</v>
      </c>
      <c r="C293" s="125">
        <v>63</v>
      </c>
      <c r="D293" s="125">
        <v>486</v>
      </c>
      <c r="E293" s="125">
        <v>229</v>
      </c>
      <c r="F293" s="116">
        <f t="shared" si="4"/>
        <v>778</v>
      </c>
    </row>
    <row r="294" spans="1:6">
      <c r="A294" s="116" t="s">
        <v>209</v>
      </c>
      <c r="B294" s="116" t="s">
        <v>1341</v>
      </c>
      <c r="C294" s="116">
        <v>6</v>
      </c>
      <c r="D294" s="116">
        <v>76</v>
      </c>
      <c r="E294" s="116">
        <v>50</v>
      </c>
      <c r="F294" s="116">
        <f t="shared" si="4"/>
        <v>132</v>
      </c>
    </row>
    <row r="295" spans="1:6">
      <c r="A295" s="116" t="s">
        <v>1045</v>
      </c>
      <c r="B295" s="116" t="s">
        <v>1342</v>
      </c>
      <c r="C295" s="116">
        <v>0</v>
      </c>
      <c r="D295" s="116">
        <v>23</v>
      </c>
      <c r="E295" s="116">
        <v>0</v>
      </c>
      <c r="F295" s="116">
        <f t="shared" si="4"/>
        <v>23</v>
      </c>
    </row>
  </sheetData>
  <sortState xmlns:xlrd2="http://schemas.microsoft.com/office/spreadsheetml/2017/richdata2" ref="A2:F293">
    <sortCondition ref="B2:B293"/>
  </sortState>
  <hyperlinks>
    <hyperlink ref="H1" r:id="rId1" xr:uid="{377F7ABB-302B-4AB2-A159-BEE0FC592AD4}"/>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2F840-7DCE-4B39-BCBB-A935920CCF1F}">
  <sheetPr>
    <tabColor rgb="FF92D050"/>
  </sheetPr>
  <dimension ref="A1:G311"/>
  <sheetViews>
    <sheetView topLeftCell="A286" workbookViewId="0">
      <selection activeCell="D326" sqref="D326"/>
    </sheetView>
  </sheetViews>
  <sheetFormatPr defaultRowHeight="14.25"/>
  <cols>
    <col min="1" max="1" width="9.140625" style="130"/>
    <col min="2" max="2" width="43.5703125" style="130" customWidth="1"/>
    <col min="3" max="3" width="15" style="133" bestFit="1" customWidth="1"/>
    <col min="4" max="5" width="16.42578125" style="130" bestFit="1" customWidth="1"/>
  </cols>
  <sheetData>
    <row r="1" spans="1:7" ht="20.25">
      <c r="A1" s="291" t="s">
        <v>1759</v>
      </c>
      <c r="B1" s="291"/>
      <c r="C1" s="291"/>
      <c r="D1" s="291"/>
      <c r="E1" s="291"/>
      <c r="G1" s="1"/>
    </row>
    <row r="2" spans="1:7" ht="16.5">
      <c r="A2" s="138" t="s">
        <v>867</v>
      </c>
      <c r="B2" s="138" t="s">
        <v>1344</v>
      </c>
      <c r="C2" s="139" t="s">
        <v>977</v>
      </c>
      <c r="D2" s="140" t="s">
        <v>978</v>
      </c>
      <c r="E2" s="140" t="s">
        <v>586</v>
      </c>
    </row>
    <row r="3" spans="1:7" ht="16.5">
      <c r="A3" s="230" t="s">
        <v>51</v>
      </c>
      <c r="B3" s="231" t="s">
        <v>588</v>
      </c>
      <c r="C3" s="234">
        <v>813403</v>
      </c>
      <c r="D3" s="235">
        <v>43316</v>
      </c>
      <c r="E3" s="135">
        <f t="shared" ref="E3:E65" si="0">C3+D3</f>
        <v>856719</v>
      </c>
    </row>
    <row r="4" spans="1:7" ht="16.5">
      <c r="A4" s="230" t="s">
        <v>53</v>
      </c>
      <c r="B4" s="231" t="s">
        <v>589</v>
      </c>
      <c r="C4" s="234">
        <v>118830</v>
      </c>
      <c r="D4" s="235">
        <v>7279</v>
      </c>
      <c r="E4" s="135">
        <f t="shared" si="0"/>
        <v>126109</v>
      </c>
    </row>
    <row r="5" spans="1:7" ht="16.5">
      <c r="A5" s="230" t="s">
        <v>55</v>
      </c>
      <c r="B5" s="231" t="s">
        <v>590</v>
      </c>
      <c r="C5" s="234">
        <v>22366</v>
      </c>
      <c r="D5" s="235">
        <v>578</v>
      </c>
      <c r="E5" s="135">
        <f t="shared" si="0"/>
        <v>22944</v>
      </c>
    </row>
    <row r="6" spans="1:7" ht="16.5">
      <c r="A6" s="230" t="s">
        <v>182</v>
      </c>
      <c r="B6" s="231" t="s">
        <v>591</v>
      </c>
      <c r="C6" s="234">
        <v>528673</v>
      </c>
      <c r="D6" s="235">
        <v>15899</v>
      </c>
      <c r="E6" s="135">
        <f t="shared" si="0"/>
        <v>544572</v>
      </c>
    </row>
    <row r="7" spans="1:7" ht="16.5">
      <c r="A7" s="230" t="s">
        <v>471</v>
      </c>
      <c r="B7" s="231" t="s">
        <v>592</v>
      </c>
      <c r="C7" s="234">
        <v>1046928</v>
      </c>
      <c r="D7" s="235">
        <v>32072</v>
      </c>
      <c r="E7" s="135">
        <f t="shared" si="0"/>
        <v>1079000</v>
      </c>
    </row>
    <row r="8" spans="1:7" ht="16.5">
      <c r="A8" s="230" t="s">
        <v>473</v>
      </c>
      <c r="B8" s="231" t="s">
        <v>593</v>
      </c>
      <c r="C8" s="234">
        <v>137526</v>
      </c>
      <c r="D8" s="235">
        <v>4313</v>
      </c>
      <c r="E8" s="135">
        <f t="shared" si="0"/>
        <v>141839</v>
      </c>
    </row>
    <row r="9" spans="1:7" ht="16.5">
      <c r="A9" s="230" t="s">
        <v>474</v>
      </c>
      <c r="B9" s="231" t="s">
        <v>594</v>
      </c>
      <c r="C9" s="234">
        <v>3240707</v>
      </c>
      <c r="D9" s="235">
        <v>61219</v>
      </c>
      <c r="E9" s="135">
        <f t="shared" si="0"/>
        <v>3301926</v>
      </c>
    </row>
    <row r="10" spans="1:7" ht="16.5">
      <c r="A10" s="230" t="s">
        <v>476</v>
      </c>
      <c r="B10" s="231" t="s">
        <v>595</v>
      </c>
      <c r="C10" s="234">
        <v>736478</v>
      </c>
      <c r="D10" s="235">
        <v>28011</v>
      </c>
      <c r="E10" s="135">
        <f t="shared" si="0"/>
        <v>764489</v>
      </c>
    </row>
    <row r="11" spans="1:7" ht="16.5">
      <c r="A11" s="230" t="s">
        <v>477</v>
      </c>
      <c r="B11" s="231" t="s">
        <v>596</v>
      </c>
      <c r="C11" s="234">
        <v>2561191</v>
      </c>
      <c r="D11" s="235">
        <v>100587</v>
      </c>
      <c r="E11" s="135">
        <f t="shared" si="0"/>
        <v>2661778</v>
      </c>
    </row>
    <row r="12" spans="1:7" ht="16.5">
      <c r="A12" s="230" t="s">
        <v>195</v>
      </c>
      <c r="B12" s="231" t="s">
        <v>597</v>
      </c>
      <c r="C12" s="234">
        <v>3779428</v>
      </c>
      <c r="D12" s="235">
        <v>74783</v>
      </c>
      <c r="E12" s="135">
        <f t="shared" si="0"/>
        <v>3854211</v>
      </c>
    </row>
    <row r="13" spans="1:7" ht="16.5">
      <c r="A13" s="230" t="s">
        <v>197</v>
      </c>
      <c r="B13" s="231" t="s">
        <v>598</v>
      </c>
      <c r="C13" s="234">
        <v>2365328</v>
      </c>
      <c r="D13" s="235">
        <v>65063</v>
      </c>
      <c r="E13" s="135">
        <f t="shared" si="0"/>
        <v>2430391</v>
      </c>
    </row>
    <row r="14" spans="1:7" ht="16.5">
      <c r="A14" s="230" t="s">
        <v>199</v>
      </c>
      <c r="B14" s="231" t="s">
        <v>599</v>
      </c>
      <c r="C14" s="234">
        <v>2553</v>
      </c>
      <c r="D14" s="235">
        <v>8</v>
      </c>
      <c r="E14" s="135">
        <f t="shared" si="0"/>
        <v>2561</v>
      </c>
    </row>
    <row r="15" spans="1:7" ht="16.5">
      <c r="A15" s="230" t="s">
        <v>201</v>
      </c>
      <c r="B15" s="231" t="s">
        <v>600</v>
      </c>
      <c r="C15" s="234">
        <v>3902194</v>
      </c>
      <c r="D15" s="235">
        <v>103567</v>
      </c>
      <c r="E15" s="135">
        <f t="shared" si="0"/>
        <v>4005761</v>
      </c>
    </row>
    <row r="16" spans="1:7" ht="16.5">
      <c r="A16" s="230" t="s">
        <v>14</v>
      </c>
      <c r="B16" s="231" t="s">
        <v>602</v>
      </c>
      <c r="C16" s="234">
        <v>405470</v>
      </c>
      <c r="D16" s="235">
        <v>8831</v>
      </c>
      <c r="E16" s="135">
        <f t="shared" si="0"/>
        <v>414301</v>
      </c>
    </row>
    <row r="17" spans="1:5" ht="16.5">
      <c r="A17" s="230" t="s">
        <v>16</v>
      </c>
      <c r="B17" s="231" t="s">
        <v>603</v>
      </c>
      <c r="C17" s="234">
        <v>24879</v>
      </c>
      <c r="D17" s="235">
        <v>4495</v>
      </c>
      <c r="E17" s="135">
        <f t="shared" si="0"/>
        <v>29374</v>
      </c>
    </row>
    <row r="18" spans="1:5" ht="16.5">
      <c r="A18" s="230" t="s">
        <v>524</v>
      </c>
      <c r="B18" s="231" t="s">
        <v>604</v>
      </c>
      <c r="C18" s="234">
        <v>1054863</v>
      </c>
      <c r="D18" s="235">
        <v>42867</v>
      </c>
      <c r="E18" s="135">
        <f t="shared" si="0"/>
        <v>1097730</v>
      </c>
    </row>
    <row r="19" spans="1:5" ht="16.5">
      <c r="A19" s="230" t="s">
        <v>526</v>
      </c>
      <c r="B19" s="231" t="s">
        <v>605</v>
      </c>
      <c r="C19" s="234">
        <v>224960</v>
      </c>
      <c r="D19" s="235">
        <v>7168</v>
      </c>
      <c r="E19" s="135">
        <f t="shared" si="0"/>
        <v>232128</v>
      </c>
    </row>
    <row r="20" spans="1:5" ht="16.5">
      <c r="A20" s="230" t="s">
        <v>528</v>
      </c>
      <c r="B20" s="231" t="s">
        <v>606</v>
      </c>
      <c r="C20" s="234">
        <v>178020</v>
      </c>
      <c r="D20" s="235">
        <v>6532</v>
      </c>
      <c r="E20" s="135">
        <f t="shared" si="0"/>
        <v>184552</v>
      </c>
    </row>
    <row r="21" spans="1:5" ht="16.5">
      <c r="A21" s="230" t="s">
        <v>530</v>
      </c>
      <c r="B21" s="231" t="s">
        <v>607</v>
      </c>
      <c r="C21" s="234">
        <v>21638</v>
      </c>
      <c r="D21" s="235">
        <v>546</v>
      </c>
      <c r="E21" s="135">
        <f t="shared" si="0"/>
        <v>22184</v>
      </c>
    </row>
    <row r="22" spans="1:5" ht="16.5">
      <c r="A22" s="230" t="s">
        <v>532</v>
      </c>
      <c r="B22" s="231" t="s">
        <v>608</v>
      </c>
      <c r="C22" s="234">
        <v>746006</v>
      </c>
      <c r="D22" s="235">
        <v>31405</v>
      </c>
      <c r="E22" s="135">
        <f t="shared" si="0"/>
        <v>777411</v>
      </c>
    </row>
    <row r="23" spans="1:5" ht="16.5">
      <c r="A23" s="230" t="s">
        <v>534</v>
      </c>
      <c r="B23" s="231" t="s">
        <v>609</v>
      </c>
      <c r="C23" s="234">
        <v>1112116</v>
      </c>
      <c r="D23" s="235">
        <v>25475</v>
      </c>
      <c r="E23" s="135">
        <f t="shared" si="0"/>
        <v>1137591</v>
      </c>
    </row>
    <row r="24" spans="1:5" ht="16.5">
      <c r="A24" s="230" t="s">
        <v>536</v>
      </c>
      <c r="B24" s="231" t="s">
        <v>610</v>
      </c>
      <c r="C24" s="234">
        <v>114975</v>
      </c>
      <c r="D24" s="235">
        <v>5272</v>
      </c>
      <c r="E24" s="135">
        <f t="shared" si="0"/>
        <v>120247</v>
      </c>
    </row>
    <row r="25" spans="1:5" ht="16.5">
      <c r="A25" s="230" t="s">
        <v>538</v>
      </c>
      <c r="B25" s="231" t="s">
        <v>847</v>
      </c>
      <c r="C25" s="234">
        <v>39704</v>
      </c>
      <c r="D25" s="235">
        <v>2089</v>
      </c>
      <c r="E25" s="135">
        <f t="shared" si="0"/>
        <v>41793</v>
      </c>
    </row>
    <row r="26" spans="1:5" ht="16.5">
      <c r="A26" s="230" t="s">
        <v>151</v>
      </c>
      <c r="B26" s="231" t="s">
        <v>611</v>
      </c>
      <c r="C26" s="234">
        <v>278083</v>
      </c>
      <c r="D26" s="235">
        <v>15090</v>
      </c>
      <c r="E26" s="135">
        <f t="shared" si="0"/>
        <v>293173</v>
      </c>
    </row>
    <row r="27" spans="1:5" ht="16.5">
      <c r="A27" s="230" t="s">
        <v>153</v>
      </c>
      <c r="B27" s="231" t="s">
        <v>612</v>
      </c>
      <c r="C27" s="234">
        <v>306019</v>
      </c>
      <c r="D27" s="235">
        <v>20276</v>
      </c>
      <c r="E27" s="135">
        <f t="shared" si="0"/>
        <v>326295</v>
      </c>
    </row>
    <row r="28" spans="1:5" ht="16.5">
      <c r="A28" s="230" t="s">
        <v>155</v>
      </c>
      <c r="B28" s="231" t="s">
        <v>613</v>
      </c>
      <c r="C28" s="234">
        <v>274562</v>
      </c>
      <c r="D28" s="235">
        <v>9797</v>
      </c>
      <c r="E28" s="135">
        <f t="shared" si="0"/>
        <v>284359</v>
      </c>
    </row>
    <row r="29" spans="1:5" ht="16.5">
      <c r="A29" s="230" t="s">
        <v>1050</v>
      </c>
      <c r="B29" s="231" t="s">
        <v>1047</v>
      </c>
      <c r="C29" s="234">
        <v>53241</v>
      </c>
      <c r="D29" s="235">
        <v>1429</v>
      </c>
      <c r="E29" s="135">
        <f t="shared" si="0"/>
        <v>54670</v>
      </c>
    </row>
    <row r="30" spans="1:5" ht="16.5">
      <c r="A30" s="230" t="s">
        <v>281</v>
      </c>
      <c r="B30" s="231" t="s">
        <v>614</v>
      </c>
      <c r="C30" s="234">
        <v>2519779</v>
      </c>
      <c r="D30" s="235">
        <v>109194</v>
      </c>
      <c r="E30" s="135">
        <f t="shared" si="0"/>
        <v>2628973</v>
      </c>
    </row>
    <row r="31" spans="1:5" ht="16.5">
      <c r="A31" s="230" t="s">
        <v>283</v>
      </c>
      <c r="B31" s="231" t="s">
        <v>615</v>
      </c>
      <c r="C31" s="234">
        <v>2792994</v>
      </c>
      <c r="D31" s="235">
        <v>54266</v>
      </c>
      <c r="E31" s="135">
        <f t="shared" si="0"/>
        <v>2847260</v>
      </c>
    </row>
    <row r="32" spans="1:5" ht="16.5">
      <c r="A32" s="230" t="s">
        <v>285</v>
      </c>
      <c r="B32" s="231" t="s">
        <v>616</v>
      </c>
      <c r="C32" s="234">
        <v>815431</v>
      </c>
      <c r="D32" s="235">
        <v>39066</v>
      </c>
      <c r="E32" s="135">
        <f t="shared" si="0"/>
        <v>854497</v>
      </c>
    </row>
    <row r="33" spans="1:5" ht="16.5">
      <c r="A33" s="230" t="s">
        <v>287</v>
      </c>
      <c r="B33" s="231" t="s">
        <v>617</v>
      </c>
      <c r="C33" s="234">
        <v>611699</v>
      </c>
      <c r="D33" s="235">
        <v>15844</v>
      </c>
      <c r="E33" s="135">
        <f t="shared" si="0"/>
        <v>627543</v>
      </c>
    </row>
    <row r="34" spans="1:5" ht="16.5">
      <c r="A34" s="230" t="s">
        <v>289</v>
      </c>
      <c r="B34" s="231" t="s">
        <v>618</v>
      </c>
      <c r="C34" s="234">
        <v>966992</v>
      </c>
      <c r="D34" s="235">
        <v>24252</v>
      </c>
      <c r="E34" s="135">
        <f t="shared" si="0"/>
        <v>991244</v>
      </c>
    </row>
    <row r="35" spans="1:5" ht="16.5">
      <c r="A35" s="230" t="s">
        <v>291</v>
      </c>
      <c r="B35" s="231" t="s">
        <v>619</v>
      </c>
      <c r="C35" s="234">
        <v>185559</v>
      </c>
      <c r="D35" s="235">
        <v>4957</v>
      </c>
      <c r="E35" s="135">
        <f t="shared" si="0"/>
        <v>190516</v>
      </c>
    </row>
    <row r="36" spans="1:5" ht="16.5">
      <c r="A36" s="230" t="s">
        <v>19</v>
      </c>
      <c r="B36" s="231" t="s">
        <v>620</v>
      </c>
      <c r="C36" s="234">
        <v>223730</v>
      </c>
      <c r="D36" s="235">
        <v>7473</v>
      </c>
      <c r="E36" s="135">
        <f t="shared" si="0"/>
        <v>231203</v>
      </c>
    </row>
    <row r="37" spans="1:5" ht="16.5">
      <c r="A37" s="230" t="s">
        <v>21</v>
      </c>
      <c r="B37" s="231" t="s">
        <v>621</v>
      </c>
      <c r="C37" s="234">
        <v>579033</v>
      </c>
      <c r="D37" s="235">
        <v>22977</v>
      </c>
      <c r="E37" s="135">
        <f t="shared" si="0"/>
        <v>602010</v>
      </c>
    </row>
    <row r="38" spans="1:5" ht="16.5">
      <c r="A38" s="230" t="s">
        <v>23</v>
      </c>
      <c r="B38" s="231" t="s">
        <v>622</v>
      </c>
      <c r="C38" s="234">
        <v>188880</v>
      </c>
      <c r="D38" s="235">
        <v>9943</v>
      </c>
      <c r="E38" s="135">
        <f t="shared" si="0"/>
        <v>198823</v>
      </c>
    </row>
    <row r="39" spans="1:5" ht="16.5">
      <c r="A39" s="230" t="s">
        <v>25</v>
      </c>
      <c r="B39" s="231" t="s">
        <v>623</v>
      </c>
      <c r="C39" s="234">
        <v>2763269</v>
      </c>
      <c r="D39" s="235">
        <v>108016</v>
      </c>
      <c r="E39" s="135">
        <f t="shared" si="0"/>
        <v>2871285</v>
      </c>
    </row>
    <row r="40" spans="1:5" ht="16.5">
      <c r="A40" s="230" t="s">
        <v>27</v>
      </c>
      <c r="B40" s="231" t="s">
        <v>624</v>
      </c>
      <c r="C40" s="234">
        <v>106812</v>
      </c>
      <c r="D40" s="235">
        <v>4274</v>
      </c>
      <c r="E40" s="135">
        <f t="shared" si="0"/>
        <v>111086</v>
      </c>
    </row>
    <row r="41" spans="1:5" ht="16.5">
      <c r="A41" s="230" t="s">
        <v>29</v>
      </c>
      <c r="B41" s="231" t="s">
        <v>625</v>
      </c>
      <c r="C41" s="234">
        <v>370529</v>
      </c>
      <c r="D41" s="235">
        <v>8319</v>
      </c>
      <c r="E41" s="135">
        <f t="shared" si="0"/>
        <v>378848</v>
      </c>
    </row>
    <row r="42" spans="1:5" ht="16.5">
      <c r="A42" s="230" t="s">
        <v>148</v>
      </c>
      <c r="B42" s="231" t="s">
        <v>626</v>
      </c>
      <c r="C42" s="234">
        <v>36424</v>
      </c>
      <c r="D42" s="235">
        <v>2084</v>
      </c>
      <c r="E42" s="135">
        <f t="shared" si="0"/>
        <v>38508</v>
      </c>
    </row>
    <row r="43" spans="1:5" ht="16.5">
      <c r="A43" s="230" t="s">
        <v>150</v>
      </c>
      <c r="B43" s="231" t="s">
        <v>859</v>
      </c>
      <c r="C43" s="234">
        <v>27697</v>
      </c>
      <c r="D43" s="235">
        <v>1552</v>
      </c>
      <c r="E43" s="135">
        <f t="shared" si="0"/>
        <v>29249</v>
      </c>
    </row>
    <row r="44" spans="1:5" ht="16.5">
      <c r="A44" s="230" t="s">
        <v>133</v>
      </c>
      <c r="B44" s="231" t="s">
        <v>860</v>
      </c>
      <c r="C44" s="234">
        <v>155307</v>
      </c>
      <c r="D44" s="235">
        <v>1986</v>
      </c>
      <c r="E44" s="135">
        <f t="shared" si="0"/>
        <v>157293</v>
      </c>
    </row>
    <row r="45" spans="1:5" ht="16.5">
      <c r="A45" s="230" t="s">
        <v>134</v>
      </c>
      <c r="B45" s="231" t="s">
        <v>627</v>
      </c>
      <c r="C45" s="234">
        <v>416524</v>
      </c>
      <c r="D45" s="235">
        <v>13022</v>
      </c>
      <c r="E45" s="135">
        <f t="shared" si="0"/>
        <v>429546</v>
      </c>
    </row>
    <row r="46" spans="1:5" ht="16.5">
      <c r="A46" s="230" t="s">
        <v>136</v>
      </c>
      <c r="B46" s="231" t="s">
        <v>628</v>
      </c>
      <c r="C46" s="234">
        <v>138527</v>
      </c>
      <c r="D46" s="235">
        <v>8241</v>
      </c>
      <c r="E46" s="135">
        <f t="shared" si="0"/>
        <v>146768</v>
      </c>
    </row>
    <row r="47" spans="1:5" ht="16.5">
      <c r="A47" s="230" t="s">
        <v>138</v>
      </c>
      <c r="B47" s="231" t="s">
        <v>629</v>
      </c>
      <c r="C47" s="234">
        <v>77504</v>
      </c>
      <c r="D47" s="235">
        <v>1272</v>
      </c>
      <c r="E47" s="135">
        <f t="shared" si="0"/>
        <v>78776</v>
      </c>
    </row>
    <row r="48" spans="1:5" ht="16.5">
      <c r="A48" s="230" t="s">
        <v>140</v>
      </c>
      <c r="B48" s="231" t="s">
        <v>630</v>
      </c>
      <c r="C48" s="234">
        <v>40231</v>
      </c>
      <c r="D48" s="235">
        <v>3063</v>
      </c>
      <c r="E48" s="135">
        <f t="shared" si="0"/>
        <v>43294</v>
      </c>
    </row>
    <row r="49" spans="1:5" ht="16.5">
      <c r="A49" s="230" t="s">
        <v>142</v>
      </c>
      <c r="B49" s="231" t="s">
        <v>848</v>
      </c>
      <c r="C49" s="234">
        <v>47238</v>
      </c>
      <c r="D49" s="235">
        <v>1110</v>
      </c>
      <c r="E49" s="135">
        <f t="shared" si="0"/>
        <v>48348</v>
      </c>
    </row>
    <row r="50" spans="1:5" ht="16.5">
      <c r="A50" s="230" t="s">
        <v>143</v>
      </c>
      <c r="B50" s="231" t="s">
        <v>631</v>
      </c>
      <c r="C50" s="234">
        <v>191826</v>
      </c>
      <c r="D50" s="235">
        <v>5041</v>
      </c>
      <c r="E50" s="135">
        <f t="shared" si="0"/>
        <v>196867</v>
      </c>
    </row>
    <row r="51" spans="1:5" ht="16.5">
      <c r="A51" s="230" t="s">
        <v>12</v>
      </c>
      <c r="B51" s="231" t="s">
        <v>632</v>
      </c>
      <c r="C51" s="234">
        <v>64649</v>
      </c>
      <c r="D51" s="235">
        <v>1212</v>
      </c>
      <c r="E51" s="135">
        <f t="shared" si="0"/>
        <v>65861</v>
      </c>
    </row>
    <row r="52" spans="1:5" ht="16.5">
      <c r="A52" s="230" t="s">
        <v>145</v>
      </c>
      <c r="B52" s="231" t="s">
        <v>633</v>
      </c>
      <c r="C52" s="234">
        <v>17887</v>
      </c>
      <c r="D52" s="235">
        <v>1043</v>
      </c>
      <c r="E52" s="135">
        <f t="shared" si="0"/>
        <v>18930</v>
      </c>
    </row>
    <row r="53" spans="1:5" ht="16.5">
      <c r="A53" s="230" t="s">
        <v>402</v>
      </c>
      <c r="B53" s="231" t="s">
        <v>634</v>
      </c>
      <c r="C53" s="234">
        <v>51050</v>
      </c>
      <c r="D53" s="235">
        <v>1160</v>
      </c>
      <c r="E53" s="135">
        <f t="shared" si="0"/>
        <v>52210</v>
      </c>
    </row>
    <row r="54" spans="1:5" ht="16.5">
      <c r="A54" s="230" t="s">
        <v>404</v>
      </c>
      <c r="B54" s="231" t="s">
        <v>635</v>
      </c>
      <c r="C54" s="234">
        <v>72631</v>
      </c>
      <c r="D54" s="235">
        <v>1715</v>
      </c>
      <c r="E54" s="135">
        <f t="shared" si="0"/>
        <v>74346</v>
      </c>
    </row>
    <row r="55" spans="1:5" ht="16.5">
      <c r="A55" s="230" t="s">
        <v>406</v>
      </c>
      <c r="B55" s="231" t="s">
        <v>636</v>
      </c>
      <c r="C55" s="234">
        <v>5837</v>
      </c>
      <c r="D55" s="235">
        <v>517</v>
      </c>
      <c r="E55" s="135">
        <f t="shared" si="0"/>
        <v>6354</v>
      </c>
    </row>
    <row r="56" spans="1:5" ht="16.5">
      <c r="A56" s="230" t="s">
        <v>224</v>
      </c>
      <c r="B56" s="231" t="s">
        <v>637</v>
      </c>
      <c r="C56" s="234">
        <v>96964</v>
      </c>
      <c r="D56" s="235">
        <v>3730</v>
      </c>
      <c r="E56" s="135">
        <f t="shared" si="0"/>
        <v>100694</v>
      </c>
    </row>
    <row r="57" spans="1:5" ht="16.5">
      <c r="A57" s="230" t="s">
        <v>226</v>
      </c>
      <c r="B57" s="231" t="s">
        <v>638</v>
      </c>
      <c r="C57" s="234">
        <v>104930</v>
      </c>
      <c r="D57" s="235">
        <v>2856</v>
      </c>
      <c r="E57" s="135">
        <f t="shared" si="0"/>
        <v>107786</v>
      </c>
    </row>
    <row r="58" spans="1:5" ht="16.5">
      <c r="A58" s="230" t="s">
        <v>355</v>
      </c>
      <c r="B58" s="231" t="s">
        <v>639</v>
      </c>
      <c r="C58" s="234">
        <v>518674</v>
      </c>
      <c r="D58" s="235">
        <v>22424</v>
      </c>
      <c r="E58" s="135">
        <f t="shared" si="0"/>
        <v>541098</v>
      </c>
    </row>
    <row r="59" spans="1:5" ht="16.5">
      <c r="A59" s="230" t="s">
        <v>357</v>
      </c>
      <c r="B59" s="231" t="s">
        <v>640</v>
      </c>
      <c r="C59" s="234">
        <v>216247</v>
      </c>
      <c r="D59" s="235">
        <v>5748</v>
      </c>
      <c r="E59" s="135">
        <f t="shared" si="0"/>
        <v>221995</v>
      </c>
    </row>
    <row r="60" spans="1:5" ht="16.5">
      <c r="A60" s="230" t="s">
        <v>230</v>
      </c>
      <c r="B60" s="231" t="s">
        <v>861</v>
      </c>
      <c r="C60" s="234">
        <v>805910</v>
      </c>
      <c r="D60" s="235">
        <v>22225</v>
      </c>
      <c r="E60" s="135">
        <f t="shared" si="0"/>
        <v>828135</v>
      </c>
    </row>
    <row r="61" spans="1:5" ht="16.5">
      <c r="A61" s="230" t="s">
        <v>231</v>
      </c>
      <c r="B61" s="231" t="s">
        <v>862</v>
      </c>
      <c r="C61" s="234">
        <v>668767</v>
      </c>
      <c r="D61" s="235">
        <v>15792</v>
      </c>
      <c r="E61" s="135">
        <f t="shared" si="0"/>
        <v>684559</v>
      </c>
    </row>
    <row r="62" spans="1:5" ht="16.5">
      <c r="A62" s="230" t="s">
        <v>232</v>
      </c>
      <c r="B62" s="231" t="s">
        <v>641</v>
      </c>
      <c r="C62" s="234">
        <v>1181342</v>
      </c>
      <c r="D62" s="235">
        <v>29264</v>
      </c>
      <c r="E62" s="135">
        <f t="shared" si="0"/>
        <v>1210606</v>
      </c>
    </row>
    <row r="63" spans="1:5" ht="16.5">
      <c r="A63" s="230" t="s">
        <v>234</v>
      </c>
      <c r="B63" s="231" t="s">
        <v>642</v>
      </c>
      <c r="C63" s="234">
        <v>21209</v>
      </c>
      <c r="D63" s="235">
        <v>561</v>
      </c>
      <c r="E63" s="135">
        <f t="shared" si="0"/>
        <v>21770</v>
      </c>
    </row>
    <row r="64" spans="1:5" ht="16.5">
      <c r="A64" s="230" t="s">
        <v>236</v>
      </c>
      <c r="B64" s="231" t="s">
        <v>643</v>
      </c>
      <c r="C64" s="234">
        <v>385978</v>
      </c>
      <c r="D64" s="235">
        <v>12627</v>
      </c>
      <c r="E64" s="135">
        <f t="shared" si="0"/>
        <v>398605</v>
      </c>
    </row>
    <row r="65" spans="1:5" ht="16.5">
      <c r="A65" s="230" t="s">
        <v>238</v>
      </c>
      <c r="B65" s="231" t="s">
        <v>644</v>
      </c>
      <c r="C65" s="234">
        <v>4135402</v>
      </c>
      <c r="D65" s="235">
        <v>131718</v>
      </c>
      <c r="E65" s="135">
        <f t="shared" si="0"/>
        <v>4267120</v>
      </c>
    </row>
    <row r="66" spans="1:5" ht="16.5">
      <c r="A66" s="230" t="s">
        <v>240</v>
      </c>
      <c r="B66" s="231" t="s">
        <v>645</v>
      </c>
      <c r="C66" s="234">
        <v>641656</v>
      </c>
      <c r="D66" s="235">
        <v>23390</v>
      </c>
      <c r="E66" s="135">
        <f t="shared" ref="E66:E130" si="1">C66+D66</f>
        <v>665046</v>
      </c>
    </row>
    <row r="67" spans="1:5" ht="16.5">
      <c r="A67" s="230" t="s">
        <v>409</v>
      </c>
      <c r="B67" s="231" t="s">
        <v>646</v>
      </c>
      <c r="C67" s="234">
        <v>404410</v>
      </c>
      <c r="D67" s="235">
        <v>20368</v>
      </c>
      <c r="E67" s="135">
        <f t="shared" si="1"/>
        <v>424778</v>
      </c>
    </row>
    <row r="68" spans="1:5" ht="16.5">
      <c r="A68" s="230" t="s">
        <v>411</v>
      </c>
      <c r="B68" s="231" t="s">
        <v>647</v>
      </c>
      <c r="C68" s="234">
        <v>18543</v>
      </c>
      <c r="D68" s="235">
        <v>556</v>
      </c>
      <c r="E68" s="135">
        <f t="shared" si="1"/>
        <v>19099</v>
      </c>
    </row>
    <row r="69" spans="1:5" ht="16.5">
      <c r="A69" s="230" t="s">
        <v>413</v>
      </c>
      <c r="B69" s="231" t="s">
        <v>648</v>
      </c>
      <c r="C69" s="234">
        <v>74669</v>
      </c>
      <c r="D69" s="235">
        <v>729</v>
      </c>
      <c r="E69" s="135">
        <f t="shared" si="1"/>
        <v>75398</v>
      </c>
    </row>
    <row r="70" spans="1:5" ht="16.5">
      <c r="A70" s="230" t="s">
        <v>415</v>
      </c>
      <c r="B70" s="231" t="s">
        <v>649</v>
      </c>
      <c r="C70" s="234">
        <v>899736</v>
      </c>
      <c r="D70" s="235">
        <v>30714</v>
      </c>
      <c r="E70" s="135">
        <f t="shared" si="1"/>
        <v>930450</v>
      </c>
    </row>
    <row r="71" spans="1:5" s="23" customFormat="1" ht="16.5">
      <c r="A71" s="230" t="s">
        <v>417</v>
      </c>
      <c r="B71" s="231" t="s">
        <v>650</v>
      </c>
      <c r="C71" s="234">
        <v>555942</v>
      </c>
      <c r="D71" s="235">
        <v>17272</v>
      </c>
      <c r="E71" s="135">
        <f t="shared" si="1"/>
        <v>573214</v>
      </c>
    </row>
    <row r="72" spans="1:5" ht="16.5">
      <c r="A72" s="230" t="s">
        <v>419</v>
      </c>
      <c r="B72" s="231" t="s">
        <v>651</v>
      </c>
      <c r="C72" s="234">
        <v>8598</v>
      </c>
      <c r="D72" s="235">
        <v>527</v>
      </c>
      <c r="E72" s="135">
        <f t="shared" si="1"/>
        <v>9125</v>
      </c>
    </row>
    <row r="73" spans="1:5" ht="16.5">
      <c r="A73" s="230" t="s">
        <v>513</v>
      </c>
      <c r="B73" s="231" t="s">
        <v>652</v>
      </c>
      <c r="C73" s="234">
        <v>4114857</v>
      </c>
      <c r="D73" s="235">
        <v>145022</v>
      </c>
      <c r="E73" s="135">
        <f t="shared" si="1"/>
        <v>4259879</v>
      </c>
    </row>
    <row r="74" spans="1:5" ht="16.5">
      <c r="A74" s="230" t="s">
        <v>515</v>
      </c>
      <c r="B74" s="231" t="s">
        <v>863</v>
      </c>
      <c r="C74" s="234">
        <v>4524897</v>
      </c>
      <c r="D74" s="235">
        <v>100755</v>
      </c>
      <c r="E74" s="135">
        <f t="shared" si="1"/>
        <v>4625652</v>
      </c>
    </row>
    <row r="75" spans="1:5" ht="16.5">
      <c r="A75" s="230" t="s">
        <v>516</v>
      </c>
      <c r="B75" s="231" t="s">
        <v>864</v>
      </c>
      <c r="C75" s="234">
        <v>7950</v>
      </c>
      <c r="D75" s="235">
        <v>511</v>
      </c>
      <c r="E75" s="135">
        <f t="shared" si="1"/>
        <v>8461</v>
      </c>
    </row>
    <row r="76" spans="1:5" ht="16.5">
      <c r="A76" s="230" t="s">
        <v>517</v>
      </c>
      <c r="B76" s="231" t="s">
        <v>653</v>
      </c>
      <c r="C76" s="234">
        <v>4535941</v>
      </c>
      <c r="D76" s="235">
        <v>123755</v>
      </c>
      <c r="E76" s="135">
        <f t="shared" si="1"/>
        <v>4659696</v>
      </c>
    </row>
    <row r="77" spans="1:5" ht="16.5">
      <c r="A77" s="230" t="s">
        <v>420</v>
      </c>
      <c r="B77" s="231" t="s">
        <v>654</v>
      </c>
      <c r="C77" s="234">
        <v>972818</v>
      </c>
      <c r="D77" s="235">
        <v>32121</v>
      </c>
      <c r="E77" s="135">
        <f t="shared" si="1"/>
        <v>1004939</v>
      </c>
    </row>
    <row r="78" spans="1:5" ht="16.5">
      <c r="A78" s="230" t="s">
        <v>422</v>
      </c>
      <c r="B78" s="231" t="s">
        <v>655</v>
      </c>
      <c r="C78" s="234">
        <v>734262</v>
      </c>
      <c r="D78" s="235">
        <v>35056</v>
      </c>
      <c r="E78" s="135">
        <f t="shared" si="1"/>
        <v>769318</v>
      </c>
    </row>
    <row r="79" spans="1:5" ht="16.5">
      <c r="A79" s="230" t="s">
        <v>424</v>
      </c>
      <c r="B79" s="231" t="s">
        <v>656</v>
      </c>
      <c r="C79" s="234">
        <v>227630</v>
      </c>
      <c r="D79" s="235">
        <v>8531</v>
      </c>
      <c r="E79" s="135">
        <f t="shared" si="1"/>
        <v>236161</v>
      </c>
    </row>
    <row r="80" spans="1:5" ht="16.5">
      <c r="A80" s="230" t="s">
        <v>426</v>
      </c>
      <c r="B80" s="231" t="s">
        <v>657</v>
      </c>
      <c r="C80" s="234">
        <v>1562003</v>
      </c>
      <c r="D80" s="235">
        <v>50666</v>
      </c>
      <c r="E80" s="135">
        <f t="shared" si="1"/>
        <v>1612669</v>
      </c>
    </row>
    <row r="81" spans="1:5" ht="16.5">
      <c r="A81" s="230" t="s">
        <v>428</v>
      </c>
      <c r="B81" s="231" t="s">
        <v>658</v>
      </c>
      <c r="C81" s="234">
        <v>143937</v>
      </c>
      <c r="D81" s="235">
        <v>2505</v>
      </c>
      <c r="E81" s="135">
        <f t="shared" si="1"/>
        <v>146442</v>
      </c>
    </row>
    <row r="82" spans="1:5" ht="16.5">
      <c r="A82" s="230" t="s">
        <v>430</v>
      </c>
      <c r="B82" s="231" t="s">
        <v>659</v>
      </c>
      <c r="C82" s="234">
        <v>32392</v>
      </c>
      <c r="D82" s="235">
        <v>1559</v>
      </c>
      <c r="E82" s="135">
        <f t="shared" si="1"/>
        <v>33951</v>
      </c>
    </row>
    <row r="83" spans="1:5" ht="16.5">
      <c r="A83" s="230" t="s">
        <v>436</v>
      </c>
      <c r="B83" s="231" t="s">
        <v>660</v>
      </c>
      <c r="C83" s="234">
        <v>176055</v>
      </c>
      <c r="D83" s="235">
        <v>6431</v>
      </c>
      <c r="E83" s="135">
        <f t="shared" si="1"/>
        <v>182486</v>
      </c>
    </row>
    <row r="84" spans="1:5" ht="16.5">
      <c r="A84" s="230" t="s">
        <v>219</v>
      </c>
      <c r="B84" s="231" t="s">
        <v>661</v>
      </c>
      <c r="C84" s="234">
        <v>748936</v>
      </c>
      <c r="D84" s="235">
        <v>29357</v>
      </c>
      <c r="E84" s="135">
        <f t="shared" si="1"/>
        <v>778293</v>
      </c>
    </row>
    <row r="85" spans="1:5" ht="16.5">
      <c r="A85" s="230" t="s">
        <v>221</v>
      </c>
      <c r="B85" s="231" t="s">
        <v>662</v>
      </c>
      <c r="C85" s="234">
        <v>316876</v>
      </c>
      <c r="D85" s="235">
        <v>11494</v>
      </c>
      <c r="E85" s="135">
        <f t="shared" si="1"/>
        <v>328370</v>
      </c>
    </row>
    <row r="86" spans="1:5" ht="16.5">
      <c r="A86" s="230" t="s">
        <v>313</v>
      </c>
      <c r="B86" s="231" t="s">
        <v>663</v>
      </c>
      <c r="C86" s="234">
        <v>416511</v>
      </c>
      <c r="D86" s="235">
        <v>9327</v>
      </c>
      <c r="E86" s="135">
        <f t="shared" si="1"/>
        <v>425838</v>
      </c>
    </row>
    <row r="87" spans="1:5" ht="16.5">
      <c r="A87" s="230" t="s">
        <v>439</v>
      </c>
      <c r="B87" s="231" t="s">
        <v>664</v>
      </c>
      <c r="C87" s="234">
        <v>38541</v>
      </c>
      <c r="D87" s="235">
        <v>630</v>
      </c>
      <c r="E87" s="135">
        <f t="shared" si="1"/>
        <v>39171</v>
      </c>
    </row>
    <row r="88" spans="1:5" ht="16.5">
      <c r="A88" s="230" t="s">
        <v>441</v>
      </c>
      <c r="B88" s="231" t="s">
        <v>665</v>
      </c>
      <c r="C88" s="234">
        <v>6904</v>
      </c>
      <c r="D88" s="235">
        <v>514</v>
      </c>
      <c r="E88" s="135">
        <f t="shared" si="1"/>
        <v>7418</v>
      </c>
    </row>
    <row r="89" spans="1:5" ht="16.5">
      <c r="A89" s="230" t="s">
        <v>445</v>
      </c>
      <c r="B89" s="231" t="s">
        <v>666</v>
      </c>
      <c r="C89" s="234">
        <v>101714</v>
      </c>
      <c r="D89" s="235">
        <v>3326</v>
      </c>
      <c r="E89" s="135">
        <f t="shared" si="1"/>
        <v>105040</v>
      </c>
    </row>
    <row r="90" spans="1:5" ht="16.5">
      <c r="A90" s="230" t="s">
        <v>447</v>
      </c>
      <c r="B90" s="231" t="s">
        <v>667</v>
      </c>
      <c r="C90" s="234">
        <v>25970</v>
      </c>
      <c r="D90" s="235">
        <v>581</v>
      </c>
      <c r="E90" s="135">
        <f t="shared" si="1"/>
        <v>26551</v>
      </c>
    </row>
    <row r="91" spans="1:5" ht="16.5">
      <c r="A91" s="230" t="s">
        <v>449</v>
      </c>
      <c r="B91" s="231" t="s">
        <v>668</v>
      </c>
      <c r="C91" s="234">
        <v>249686</v>
      </c>
      <c r="D91" s="235">
        <v>13621</v>
      </c>
      <c r="E91" s="135">
        <f t="shared" si="1"/>
        <v>263307</v>
      </c>
    </row>
    <row r="92" spans="1:5" ht="16.5">
      <c r="A92" s="230" t="s">
        <v>332</v>
      </c>
      <c r="B92" s="231" t="s">
        <v>669</v>
      </c>
      <c r="C92" s="234">
        <v>4195204</v>
      </c>
      <c r="D92" s="235">
        <v>96168</v>
      </c>
      <c r="E92" s="135">
        <f t="shared" si="1"/>
        <v>4291372</v>
      </c>
    </row>
    <row r="93" spans="1:5" ht="16.5">
      <c r="A93" s="230" t="s">
        <v>334</v>
      </c>
      <c r="B93" s="231" t="s">
        <v>670</v>
      </c>
      <c r="C93" s="234">
        <v>316499</v>
      </c>
      <c r="D93" s="235">
        <v>9553</v>
      </c>
      <c r="E93" s="136">
        <f t="shared" si="1"/>
        <v>326052</v>
      </c>
    </row>
    <row r="94" spans="1:5" ht="16.5">
      <c r="A94" s="230" t="s">
        <v>336</v>
      </c>
      <c r="B94" s="231" t="s">
        <v>671</v>
      </c>
      <c r="C94" s="234">
        <v>73572</v>
      </c>
      <c r="D94" s="235">
        <v>6141</v>
      </c>
      <c r="E94" s="136">
        <f t="shared" si="1"/>
        <v>79713</v>
      </c>
    </row>
    <row r="95" spans="1:5" ht="16.5">
      <c r="A95" s="230" t="s">
        <v>338</v>
      </c>
      <c r="B95" s="231" t="s">
        <v>672</v>
      </c>
      <c r="C95" s="234">
        <v>408671</v>
      </c>
      <c r="D95" s="235">
        <v>16943</v>
      </c>
      <c r="E95" s="135">
        <f t="shared" si="1"/>
        <v>425614</v>
      </c>
    </row>
    <row r="96" spans="1:5" ht="16.5">
      <c r="A96" s="230" t="s">
        <v>1509</v>
      </c>
      <c r="B96" s="231" t="s">
        <v>1808</v>
      </c>
      <c r="C96" s="234">
        <v>46474</v>
      </c>
      <c r="D96" s="235">
        <v>563</v>
      </c>
      <c r="E96" s="135">
        <f t="shared" si="1"/>
        <v>47037</v>
      </c>
    </row>
    <row r="97" spans="1:5" ht="16.5">
      <c r="A97" s="230" t="s">
        <v>964</v>
      </c>
      <c r="B97" s="231" t="s">
        <v>1353</v>
      </c>
      <c r="C97" s="234">
        <v>99323</v>
      </c>
      <c r="D97" s="235">
        <v>1179</v>
      </c>
      <c r="E97" s="135">
        <f t="shared" si="1"/>
        <v>100502</v>
      </c>
    </row>
    <row r="98" spans="1:5" ht="16.5">
      <c r="A98" s="230" t="s">
        <v>1051</v>
      </c>
      <c r="B98" s="231" t="s">
        <v>1354</v>
      </c>
      <c r="C98" s="234">
        <v>45473</v>
      </c>
      <c r="D98" s="235">
        <v>489</v>
      </c>
      <c r="E98" s="135">
        <f t="shared" si="1"/>
        <v>45962</v>
      </c>
    </row>
    <row r="99" spans="1:5" ht="16.5">
      <c r="A99" s="230" t="s">
        <v>340</v>
      </c>
      <c r="B99" s="231" t="s">
        <v>673</v>
      </c>
      <c r="C99" s="234">
        <v>59648</v>
      </c>
      <c r="D99" s="235">
        <v>1158</v>
      </c>
      <c r="E99" s="135">
        <f t="shared" si="1"/>
        <v>60806</v>
      </c>
    </row>
    <row r="100" spans="1:5" ht="16.5">
      <c r="A100" s="230" t="s">
        <v>342</v>
      </c>
      <c r="B100" s="231" t="s">
        <v>674</v>
      </c>
      <c r="C100" s="234">
        <v>8087</v>
      </c>
      <c r="D100" s="235">
        <v>509</v>
      </c>
      <c r="E100" s="135">
        <f t="shared" si="1"/>
        <v>8596</v>
      </c>
    </row>
    <row r="101" spans="1:5" ht="16.5">
      <c r="A101" s="230" t="s">
        <v>344</v>
      </c>
      <c r="B101" s="231" t="s">
        <v>675</v>
      </c>
      <c r="C101" s="234">
        <v>3363723</v>
      </c>
      <c r="D101" s="235">
        <v>77366</v>
      </c>
      <c r="E101" s="135">
        <f t="shared" si="1"/>
        <v>3441089</v>
      </c>
    </row>
    <row r="102" spans="1:5" ht="16.5">
      <c r="A102" s="230" t="s">
        <v>454</v>
      </c>
      <c r="B102" s="231" t="s">
        <v>676</v>
      </c>
      <c r="C102" s="234">
        <v>9539</v>
      </c>
      <c r="D102" s="235">
        <v>1010</v>
      </c>
      <c r="E102" s="135">
        <f t="shared" si="1"/>
        <v>10549</v>
      </c>
    </row>
    <row r="103" spans="1:5" ht="16.5">
      <c r="A103" s="230" t="s">
        <v>456</v>
      </c>
      <c r="B103" s="231" t="s">
        <v>677</v>
      </c>
      <c r="C103" s="234">
        <v>1045655</v>
      </c>
      <c r="D103" s="235">
        <v>27068</v>
      </c>
      <c r="E103" s="135">
        <f t="shared" si="1"/>
        <v>1072723</v>
      </c>
    </row>
    <row r="104" spans="1:5" ht="16.5">
      <c r="A104" s="230" t="s">
        <v>458</v>
      </c>
      <c r="B104" s="231" t="s">
        <v>678</v>
      </c>
      <c r="C104" s="234">
        <v>3639778</v>
      </c>
      <c r="D104" s="235">
        <v>67271</v>
      </c>
      <c r="E104" s="135">
        <f t="shared" si="1"/>
        <v>3707049</v>
      </c>
    </row>
    <row r="105" spans="1:5" ht="16.5">
      <c r="A105" s="230" t="s">
        <v>460</v>
      </c>
      <c r="B105" s="231" t="s">
        <v>679</v>
      </c>
      <c r="C105" s="234">
        <v>5141397</v>
      </c>
      <c r="D105" s="235">
        <v>132213</v>
      </c>
      <c r="E105" s="135">
        <f t="shared" si="1"/>
        <v>5273610</v>
      </c>
    </row>
    <row r="106" spans="1:5" ht="16.5">
      <c r="A106" s="230" t="s">
        <v>479</v>
      </c>
      <c r="B106" s="231" t="s">
        <v>680</v>
      </c>
      <c r="C106" s="234">
        <v>209235</v>
      </c>
      <c r="D106" s="235">
        <v>6175</v>
      </c>
      <c r="E106" s="135">
        <f t="shared" si="1"/>
        <v>215410</v>
      </c>
    </row>
    <row r="107" spans="1:5" ht="16.5">
      <c r="A107" s="230" t="s">
        <v>481</v>
      </c>
      <c r="B107" s="231" t="s">
        <v>849</v>
      </c>
      <c r="C107" s="234">
        <v>319173</v>
      </c>
      <c r="D107" s="235">
        <v>20227</v>
      </c>
      <c r="E107" s="135">
        <f t="shared" si="1"/>
        <v>339400</v>
      </c>
    </row>
    <row r="108" spans="1:5" ht="16.5">
      <c r="A108" s="230" t="s">
        <v>482</v>
      </c>
      <c r="B108" s="231" t="s">
        <v>681</v>
      </c>
      <c r="C108" s="234">
        <v>118260</v>
      </c>
      <c r="D108" s="235">
        <v>2867</v>
      </c>
      <c r="E108" s="135">
        <f t="shared" si="1"/>
        <v>121127</v>
      </c>
    </row>
    <row r="109" spans="1:5" ht="16.5">
      <c r="A109" s="230" t="s">
        <v>121</v>
      </c>
      <c r="B109" s="231" t="s">
        <v>682</v>
      </c>
      <c r="C109" s="234">
        <v>289426</v>
      </c>
      <c r="D109" s="235">
        <v>6466</v>
      </c>
      <c r="E109" s="135">
        <f t="shared" si="1"/>
        <v>295892</v>
      </c>
    </row>
    <row r="110" spans="1:5" ht="16.5">
      <c r="A110" s="230" t="s">
        <v>295</v>
      </c>
      <c r="B110" s="231" t="s">
        <v>683</v>
      </c>
      <c r="C110" s="234">
        <v>131321</v>
      </c>
      <c r="D110" s="235">
        <v>6306</v>
      </c>
      <c r="E110" s="135">
        <f t="shared" si="1"/>
        <v>137627</v>
      </c>
    </row>
    <row r="111" spans="1:5" ht="16.5">
      <c r="A111" s="230" t="s">
        <v>123</v>
      </c>
      <c r="B111" s="231" t="s">
        <v>684</v>
      </c>
      <c r="C111" s="234">
        <v>17661</v>
      </c>
      <c r="D111" s="235">
        <v>1034</v>
      </c>
      <c r="E111" s="135">
        <f t="shared" si="1"/>
        <v>18695</v>
      </c>
    </row>
    <row r="112" spans="1:5" ht="16.5">
      <c r="A112" s="230" t="s">
        <v>124</v>
      </c>
      <c r="B112" s="231" t="s">
        <v>685</v>
      </c>
      <c r="C112" s="234">
        <v>277802</v>
      </c>
      <c r="D112" s="235">
        <v>11275</v>
      </c>
      <c r="E112" s="135">
        <f t="shared" si="1"/>
        <v>289077</v>
      </c>
    </row>
    <row r="113" spans="1:5" ht="16.5">
      <c r="A113" s="230" t="s">
        <v>126</v>
      </c>
      <c r="B113" s="231" t="s">
        <v>686</v>
      </c>
      <c r="C113" s="234">
        <v>1588600</v>
      </c>
      <c r="D113" s="235">
        <v>49350</v>
      </c>
      <c r="E113" s="135">
        <f t="shared" si="1"/>
        <v>1637950</v>
      </c>
    </row>
    <row r="114" spans="1:5" ht="16.5">
      <c r="A114" s="230" t="s">
        <v>128</v>
      </c>
      <c r="B114" s="231" t="s">
        <v>687</v>
      </c>
      <c r="C114" s="234">
        <v>5360974</v>
      </c>
      <c r="D114" s="235">
        <v>102032</v>
      </c>
      <c r="E114" s="135">
        <f t="shared" si="1"/>
        <v>5463006</v>
      </c>
    </row>
    <row r="115" spans="1:5" ht="16.5">
      <c r="A115" s="230" t="s">
        <v>130</v>
      </c>
      <c r="B115" s="231" t="s">
        <v>688</v>
      </c>
      <c r="C115" s="234">
        <v>523301</v>
      </c>
      <c r="D115" s="235">
        <v>9201</v>
      </c>
      <c r="E115" s="135">
        <f t="shared" si="1"/>
        <v>532502</v>
      </c>
    </row>
    <row r="116" spans="1:5" ht="16.5">
      <c r="A116" s="230" t="s">
        <v>132</v>
      </c>
      <c r="B116" s="231" t="s">
        <v>689</v>
      </c>
      <c r="C116" s="234">
        <v>6464</v>
      </c>
      <c r="D116" s="235">
        <v>26</v>
      </c>
      <c r="E116" s="135">
        <f t="shared" si="1"/>
        <v>6490</v>
      </c>
    </row>
    <row r="117" spans="1:5" ht="16.5">
      <c r="A117" s="230" t="s">
        <v>462</v>
      </c>
      <c r="B117" s="231" t="s">
        <v>690</v>
      </c>
      <c r="C117" s="234">
        <v>151602</v>
      </c>
      <c r="D117" s="235">
        <v>4472</v>
      </c>
      <c r="E117" s="135">
        <f t="shared" si="1"/>
        <v>156074</v>
      </c>
    </row>
    <row r="118" spans="1:5" ht="16.5">
      <c r="A118" s="230" t="s">
        <v>464</v>
      </c>
      <c r="B118" s="231" t="s">
        <v>691</v>
      </c>
      <c r="C118" s="234">
        <v>48542</v>
      </c>
      <c r="D118" s="235">
        <v>3115</v>
      </c>
      <c r="E118" s="135">
        <f t="shared" si="1"/>
        <v>51657</v>
      </c>
    </row>
    <row r="119" spans="1:5" ht="16.5">
      <c r="A119" s="230" t="s">
        <v>466</v>
      </c>
      <c r="B119" s="231" t="s">
        <v>692</v>
      </c>
      <c r="C119" s="234">
        <v>1566176</v>
      </c>
      <c r="D119" s="235">
        <v>72778</v>
      </c>
      <c r="E119" s="135">
        <f t="shared" si="1"/>
        <v>1638954</v>
      </c>
    </row>
    <row r="120" spans="1:5" ht="16.5">
      <c r="A120" s="230" t="s">
        <v>468</v>
      </c>
      <c r="B120" s="231" t="s">
        <v>693</v>
      </c>
      <c r="C120" s="234">
        <v>57108</v>
      </c>
      <c r="D120" s="235">
        <v>3620</v>
      </c>
      <c r="E120" s="135">
        <f t="shared" si="1"/>
        <v>60728</v>
      </c>
    </row>
    <row r="121" spans="1:5" ht="16.5">
      <c r="A121" s="230" t="s">
        <v>470</v>
      </c>
      <c r="B121" s="231" t="s">
        <v>850</v>
      </c>
      <c r="C121" s="234">
        <v>60925</v>
      </c>
      <c r="D121" s="235">
        <v>1150</v>
      </c>
      <c r="E121" s="135">
        <f t="shared" si="1"/>
        <v>62075</v>
      </c>
    </row>
    <row r="122" spans="1:5" ht="16.5">
      <c r="A122" s="230" t="s">
        <v>1052</v>
      </c>
      <c r="B122" s="231" t="s">
        <v>1269</v>
      </c>
      <c r="C122" s="234">
        <v>9233</v>
      </c>
      <c r="D122" s="235">
        <v>0</v>
      </c>
      <c r="E122" s="135">
        <f t="shared" si="1"/>
        <v>9233</v>
      </c>
    </row>
    <row r="123" spans="1:5" ht="16.5">
      <c r="A123" s="230" t="s">
        <v>488</v>
      </c>
      <c r="B123" s="231" t="s">
        <v>694</v>
      </c>
      <c r="C123" s="234">
        <v>794385</v>
      </c>
      <c r="D123" s="235">
        <v>20227</v>
      </c>
      <c r="E123" s="135">
        <f t="shared" si="1"/>
        <v>814612</v>
      </c>
    </row>
    <row r="124" spans="1:5" ht="16.5">
      <c r="A124" s="230" t="s">
        <v>490</v>
      </c>
      <c r="B124" s="231" t="s">
        <v>695</v>
      </c>
      <c r="C124" s="234">
        <v>185807</v>
      </c>
      <c r="D124" s="235">
        <v>7044</v>
      </c>
      <c r="E124" s="135">
        <f t="shared" si="1"/>
        <v>192851</v>
      </c>
    </row>
    <row r="125" spans="1:5" ht="16.5">
      <c r="A125" s="230" t="s">
        <v>492</v>
      </c>
      <c r="B125" s="231" t="s">
        <v>696</v>
      </c>
      <c r="C125" s="234">
        <v>24528</v>
      </c>
      <c r="D125" s="235">
        <v>1053</v>
      </c>
      <c r="E125" s="135">
        <f t="shared" si="1"/>
        <v>25581</v>
      </c>
    </row>
    <row r="126" spans="1:5" ht="16.5">
      <c r="A126" s="230" t="s">
        <v>494</v>
      </c>
      <c r="B126" s="231" t="s">
        <v>697</v>
      </c>
      <c r="C126" s="234">
        <v>138760</v>
      </c>
      <c r="D126" s="235">
        <v>7347</v>
      </c>
      <c r="E126" s="135">
        <f t="shared" si="1"/>
        <v>146107</v>
      </c>
    </row>
    <row r="127" spans="1:5" ht="16.5">
      <c r="A127" s="230" t="s">
        <v>496</v>
      </c>
      <c r="B127" s="231" t="s">
        <v>851</v>
      </c>
      <c r="C127" s="234">
        <v>213799</v>
      </c>
      <c r="D127" s="235">
        <v>2924</v>
      </c>
      <c r="E127" s="135">
        <f t="shared" si="1"/>
        <v>216723</v>
      </c>
    </row>
    <row r="128" spans="1:5" ht="16.5">
      <c r="A128" s="230" t="s">
        <v>497</v>
      </c>
      <c r="B128" s="231" t="s">
        <v>698</v>
      </c>
      <c r="C128" s="234">
        <v>125708</v>
      </c>
      <c r="D128" s="235">
        <v>8211</v>
      </c>
      <c r="E128" s="135">
        <f t="shared" si="1"/>
        <v>133919</v>
      </c>
    </row>
    <row r="129" spans="1:5" ht="16.5">
      <c r="A129" s="230" t="s">
        <v>499</v>
      </c>
      <c r="B129" s="231" t="s">
        <v>699</v>
      </c>
      <c r="C129" s="234">
        <v>2234539</v>
      </c>
      <c r="D129" s="235">
        <v>69284</v>
      </c>
      <c r="E129" s="135">
        <f t="shared" si="1"/>
        <v>2303823</v>
      </c>
    </row>
    <row r="130" spans="1:5" ht="16.5">
      <c r="A130" s="230" t="s">
        <v>38</v>
      </c>
      <c r="B130" s="231" t="s">
        <v>852</v>
      </c>
      <c r="C130" s="234">
        <v>61969</v>
      </c>
      <c r="D130" s="235">
        <v>3663</v>
      </c>
      <c r="E130" s="135">
        <f t="shared" si="1"/>
        <v>65632</v>
      </c>
    </row>
    <row r="131" spans="1:5" ht="16.5">
      <c r="A131" s="230" t="s">
        <v>39</v>
      </c>
      <c r="B131" s="231" t="s">
        <v>700</v>
      </c>
      <c r="C131" s="234">
        <v>1904273</v>
      </c>
      <c r="D131" s="235">
        <v>32258</v>
      </c>
      <c r="E131" s="135">
        <f t="shared" ref="E131:E194" si="2">C131+D131</f>
        <v>1936531</v>
      </c>
    </row>
    <row r="132" spans="1:5" ht="16.5">
      <c r="A132" s="230" t="s">
        <v>41</v>
      </c>
      <c r="B132" s="231" t="s">
        <v>701</v>
      </c>
      <c r="C132" s="234">
        <v>392516</v>
      </c>
      <c r="D132" s="235">
        <v>21873</v>
      </c>
      <c r="E132" s="135">
        <f t="shared" si="2"/>
        <v>414389</v>
      </c>
    </row>
    <row r="133" spans="1:5" ht="16.5">
      <c r="A133" s="230" t="s">
        <v>43</v>
      </c>
      <c r="B133" s="231" t="s">
        <v>702</v>
      </c>
      <c r="C133" s="234">
        <v>774697</v>
      </c>
      <c r="D133" s="235">
        <v>8247</v>
      </c>
      <c r="E133" s="135">
        <f t="shared" si="2"/>
        <v>782944</v>
      </c>
    </row>
    <row r="134" spans="1:5" ht="16.5">
      <c r="A134" s="230" t="s">
        <v>45</v>
      </c>
      <c r="B134" s="231" t="s">
        <v>703</v>
      </c>
      <c r="C134" s="234">
        <v>317411</v>
      </c>
      <c r="D134" s="235">
        <v>10448</v>
      </c>
      <c r="E134" s="135">
        <f t="shared" si="2"/>
        <v>327859</v>
      </c>
    </row>
    <row r="135" spans="1:5" ht="16.5">
      <c r="A135" s="230" t="s">
        <v>71</v>
      </c>
      <c r="B135" s="231" t="s">
        <v>704</v>
      </c>
      <c r="C135" s="234">
        <v>1129368</v>
      </c>
      <c r="D135" s="235">
        <v>29100</v>
      </c>
      <c r="E135" s="135">
        <f t="shared" si="2"/>
        <v>1158468</v>
      </c>
    </row>
    <row r="136" spans="1:5" ht="16.5">
      <c r="A136" s="230" t="s">
        <v>73</v>
      </c>
      <c r="B136" s="231" t="s">
        <v>705</v>
      </c>
      <c r="C136" s="234">
        <v>290060</v>
      </c>
      <c r="D136" s="235">
        <v>4346</v>
      </c>
      <c r="E136" s="135">
        <f t="shared" si="2"/>
        <v>294406</v>
      </c>
    </row>
    <row r="137" spans="1:5" ht="16.5">
      <c r="A137" s="230" t="s">
        <v>75</v>
      </c>
      <c r="B137" s="231" t="s">
        <v>706</v>
      </c>
      <c r="C137" s="234">
        <v>102707</v>
      </c>
      <c r="D137" s="235">
        <v>7662</v>
      </c>
      <c r="E137" s="135">
        <f t="shared" si="2"/>
        <v>110369</v>
      </c>
    </row>
    <row r="138" spans="1:5" ht="16.5">
      <c r="A138" s="230" t="s">
        <v>205</v>
      </c>
      <c r="B138" s="231" t="s">
        <v>707</v>
      </c>
      <c r="C138" s="234">
        <v>1665787</v>
      </c>
      <c r="D138" s="235">
        <v>67234</v>
      </c>
      <c r="E138" s="135">
        <f t="shared" si="2"/>
        <v>1733021</v>
      </c>
    </row>
    <row r="139" spans="1:5" ht="16.5">
      <c r="A139" s="230" t="s">
        <v>207</v>
      </c>
      <c r="B139" s="231" t="s">
        <v>708</v>
      </c>
      <c r="C139" s="234">
        <v>131495</v>
      </c>
      <c r="D139" s="235">
        <v>5325</v>
      </c>
      <c r="E139" s="135">
        <f t="shared" si="2"/>
        <v>136820</v>
      </c>
    </row>
    <row r="140" spans="1:5" ht="16.5">
      <c r="A140" s="230" t="s">
        <v>209</v>
      </c>
      <c r="B140" s="231" t="s">
        <v>709</v>
      </c>
      <c r="C140" s="234">
        <v>227502</v>
      </c>
      <c r="D140" s="235">
        <v>10515</v>
      </c>
      <c r="E140" s="135">
        <f t="shared" si="2"/>
        <v>238017</v>
      </c>
    </row>
    <row r="141" spans="1:5" ht="16.5">
      <c r="A141" s="230" t="s">
        <v>211</v>
      </c>
      <c r="B141" s="231" t="s">
        <v>710</v>
      </c>
      <c r="C141" s="234">
        <v>381209</v>
      </c>
      <c r="D141" s="235">
        <v>13963</v>
      </c>
      <c r="E141" s="135">
        <f t="shared" si="2"/>
        <v>395172</v>
      </c>
    </row>
    <row r="142" spans="1:5" ht="16.5">
      <c r="A142" s="230" t="s">
        <v>89</v>
      </c>
      <c r="B142" s="231" t="s">
        <v>711</v>
      </c>
      <c r="C142" s="234">
        <v>1466297</v>
      </c>
      <c r="D142" s="235">
        <v>51918</v>
      </c>
      <c r="E142" s="135">
        <f t="shared" si="2"/>
        <v>1518215</v>
      </c>
    </row>
    <row r="143" spans="1:5" ht="16.5">
      <c r="A143" s="230" t="s">
        <v>90</v>
      </c>
      <c r="B143" s="231" t="s">
        <v>712</v>
      </c>
      <c r="C143" s="234">
        <v>2997406</v>
      </c>
      <c r="D143" s="235">
        <v>109188</v>
      </c>
      <c r="E143" s="135">
        <f t="shared" si="2"/>
        <v>3106594</v>
      </c>
    </row>
    <row r="144" spans="1:5" ht="16.5">
      <c r="A144" s="230" t="s">
        <v>92</v>
      </c>
      <c r="B144" s="231" t="s">
        <v>713</v>
      </c>
      <c r="C144" s="234">
        <v>266300</v>
      </c>
      <c r="D144" s="235">
        <v>10210</v>
      </c>
      <c r="E144" s="135">
        <f t="shared" si="2"/>
        <v>276510</v>
      </c>
    </row>
    <row r="145" spans="1:5" ht="16.5">
      <c r="A145" s="230" t="s">
        <v>94</v>
      </c>
      <c r="B145" s="231" t="s">
        <v>714</v>
      </c>
      <c r="C145" s="234">
        <v>156914</v>
      </c>
      <c r="D145" s="235">
        <v>10847</v>
      </c>
      <c r="E145" s="135">
        <f t="shared" si="2"/>
        <v>167761</v>
      </c>
    </row>
    <row r="146" spans="1:5" ht="16.5">
      <c r="A146" s="230" t="s">
        <v>97</v>
      </c>
      <c r="B146" s="231" t="s">
        <v>715</v>
      </c>
      <c r="C146" s="234">
        <v>47254</v>
      </c>
      <c r="D146" s="235">
        <v>7982</v>
      </c>
      <c r="E146" s="135">
        <f t="shared" si="2"/>
        <v>55236</v>
      </c>
    </row>
    <row r="147" spans="1:5" ht="16.5">
      <c r="A147" s="230" t="s">
        <v>99</v>
      </c>
      <c r="B147" s="231" t="s">
        <v>716</v>
      </c>
      <c r="C147" s="234">
        <v>258394</v>
      </c>
      <c r="D147" s="235">
        <v>31715</v>
      </c>
      <c r="E147" s="135">
        <f t="shared" si="2"/>
        <v>290109</v>
      </c>
    </row>
    <row r="148" spans="1:5" ht="16.5">
      <c r="A148" s="230" t="s">
        <v>101</v>
      </c>
      <c r="B148" s="231" t="s">
        <v>717</v>
      </c>
      <c r="C148" s="234">
        <v>290194</v>
      </c>
      <c r="D148" s="235">
        <v>10216</v>
      </c>
      <c r="E148" s="135">
        <f t="shared" si="2"/>
        <v>300410</v>
      </c>
    </row>
    <row r="149" spans="1:5" ht="16.5">
      <c r="A149" s="230" t="s">
        <v>103</v>
      </c>
      <c r="B149" s="231" t="s">
        <v>718</v>
      </c>
      <c r="C149" s="234">
        <v>385638</v>
      </c>
      <c r="D149" s="235">
        <v>12593</v>
      </c>
      <c r="E149" s="135">
        <f t="shared" si="2"/>
        <v>398231</v>
      </c>
    </row>
    <row r="150" spans="1:5" ht="16.5">
      <c r="A150" s="230" t="s">
        <v>214</v>
      </c>
      <c r="B150" s="231" t="s">
        <v>719</v>
      </c>
      <c r="C150" s="234">
        <v>159873</v>
      </c>
      <c r="D150" s="235">
        <v>3022</v>
      </c>
      <c r="E150" s="135">
        <f t="shared" si="2"/>
        <v>162895</v>
      </c>
    </row>
    <row r="151" spans="1:5" ht="16.5">
      <c r="A151" s="230" t="s">
        <v>216</v>
      </c>
      <c r="B151" s="231" t="s">
        <v>720</v>
      </c>
      <c r="C151" s="234">
        <v>429106</v>
      </c>
      <c r="D151" s="235">
        <v>15827</v>
      </c>
      <c r="E151" s="135">
        <f t="shared" si="2"/>
        <v>444933</v>
      </c>
    </row>
    <row r="152" spans="1:5" ht="16.5">
      <c r="A152" s="230" t="s">
        <v>48</v>
      </c>
      <c r="B152" s="231" t="s">
        <v>721</v>
      </c>
      <c r="C152" s="234">
        <v>1163498</v>
      </c>
      <c r="D152" s="235">
        <v>35618</v>
      </c>
      <c r="E152" s="135">
        <f t="shared" si="2"/>
        <v>1199116</v>
      </c>
    </row>
    <row r="153" spans="1:5" ht="16.5">
      <c r="A153" s="230" t="s">
        <v>50</v>
      </c>
      <c r="B153" s="231" t="s">
        <v>722</v>
      </c>
      <c r="C153" s="234">
        <v>497120</v>
      </c>
      <c r="D153" s="235">
        <v>13887</v>
      </c>
      <c r="E153" s="135">
        <f t="shared" si="2"/>
        <v>511007</v>
      </c>
    </row>
    <row r="154" spans="1:5" ht="16.5">
      <c r="A154" s="230" t="s">
        <v>316</v>
      </c>
      <c r="B154" s="231" t="s">
        <v>723</v>
      </c>
      <c r="C154" s="234">
        <v>15379</v>
      </c>
      <c r="D154" s="235">
        <v>558</v>
      </c>
      <c r="E154" s="135">
        <f t="shared" si="2"/>
        <v>15937</v>
      </c>
    </row>
    <row r="155" spans="1:5" ht="16.5">
      <c r="A155" s="230" t="s">
        <v>318</v>
      </c>
      <c r="B155" s="231" t="s">
        <v>724</v>
      </c>
      <c r="C155" s="234">
        <v>3013567</v>
      </c>
      <c r="D155" s="235">
        <v>89193</v>
      </c>
      <c r="E155" s="135">
        <f t="shared" si="2"/>
        <v>3102760</v>
      </c>
    </row>
    <row r="156" spans="1:5" ht="16.5">
      <c r="A156" s="230" t="s">
        <v>320</v>
      </c>
      <c r="B156" s="231" t="s">
        <v>725</v>
      </c>
      <c r="C156" s="234">
        <v>50392</v>
      </c>
      <c r="D156" s="235">
        <v>692</v>
      </c>
      <c r="E156" s="135">
        <f t="shared" si="2"/>
        <v>51084</v>
      </c>
    </row>
    <row r="157" spans="1:5" ht="16.5">
      <c r="A157" s="230" t="s">
        <v>322</v>
      </c>
      <c r="B157" s="231" t="s">
        <v>726</v>
      </c>
      <c r="C157" s="234">
        <v>4405306</v>
      </c>
      <c r="D157" s="235">
        <v>92765</v>
      </c>
      <c r="E157" s="135">
        <f t="shared" si="2"/>
        <v>4498071</v>
      </c>
    </row>
    <row r="158" spans="1:5" ht="16.5">
      <c r="A158" s="230" t="s">
        <v>324</v>
      </c>
      <c r="B158" s="231" t="s">
        <v>727</v>
      </c>
      <c r="C158" s="234">
        <v>1192791</v>
      </c>
      <c r="D158" s="235">
        <v>56050</v>
      </c>
      <c r="E158" s="135">
        <f t="shared" si="2"/>
        <v>1248841</v>
      </c>
    </row>
    <row r="159" spans="1:5" ht="16.5">
      <c r="A159" s="230" t="s">
        <v>326</v>
      </c>
      <c r="B159" s="231" t="s">
        <v>728</v>
      </c>
      <c r="C159" s="234">
        <v>29507</v>
      </c>
      <c r="D159" s="235">
        <v>1567</v>
      </c>
      <c r="E159" s="135">
        <f t="shared" si="2"/>
        <v>31074</v>
      </c>
    </row>
    <row r="160" spans="1:5" ht="16.5">
      <c r="A160" s="230" t="s">
        <v>328</v>
      </c>
      <c r="B160" s="231" t="s">
        <v>729</v>
      </c>
      <c r="C160" s="234">
        <v>71543</v>
      </c>
      <c r="D160" s="235">
        <v>2713</v>
      </c>
      <c r="E160" s="135">
        <f t="shared" si="2"/>
        <v>74256</v>
      </c>
    </row>
    <row r="161" spans="1:5" ht="16.5">
      <c r="A161" s="230" t="s">
        <v>104</v>
      </c>
      <c r="B161" s="231" t="s">
        <v>730</v>
      </c>
      <c r="C161" s="234">
        <v>164830</v>
      </c>
      <c r="D161" s="235">
        <v>8319</v>
      </c>
      <c r="E161" s="135">
        <f t="shared" si="2"/>
        <v>173149</v>
      </c>
    </row>
    <row r="162" spans="1:5" ht="16.5">
      <c r="A162" s="230" t="s">
        <v>106</v>
      </c>
      <c r="B162" s="231" t="s">
        <v>731</v>
      </c>
      <c r="C162" s="234">
        <v>51903</v>
      </c>
      <c r="D162" s="235">
        <v>2124</v>
      </c>
      <c r="E162" s="135">
        <f t="shared" si="2"/>
        <v>54027</v>
      </c>
    </row>
    <row r="163" spans="1:5" ht="16.5">
      <c r="A163" s="230" t="s">
        <v>108</v>
      </c>
      <c r="B163" s="231" t="s">
        <v>732</v>
      </c>
      <c r="C163" s="234">
        <v>226545</v>
      </c>
      <c r="D163" s="235">
        <v>8639</v>
      </c>
      <c r="E163" s="135">
        <f t="shared" si="2"/>
        <v>235184</v>
      </c>
    </row>
    <row r="164" spans="1:5" ht="16.5">
      <c r="A164" s="230" t="s">
        <v>110</v>
      </c>
      <c r="B164" s="231" t="s">
        <v>733</v>
      </c>
      <c r="C164" s="234">
        <v>1988657</v>
      </c>
      <c r="D164" s="235">
        <v>68588</v>
      </c>
      <c r="E164" s="135">
        <f t="shared" si="2"/>
        <v>2057245</v>
      </c>
    </row>
    <row r="165" spans="1:5" ht="16.5">
      <c r="A165" s="230" t="s">
        <v>112</v>
      </c>
      <c r="B165" s="231" t="s">
        <v>734</v>
      </c>
      <c r="C165" s="234">
        <v>1145604</v>
      </c>
      <c r="D165" s="235">
        <v>35221</v>
      </c>
      <c r="E165" s="135">
        <f t="shared" si="2"/>
        <v>1180825</v>
      </c>
    </row>
    <row r="166" spans="1:5" ht="16.5">
      <c r="A166" s="230" t="s">
        <v>114</v>
      </c>
      <c r="B166" s="231" t="s">
        <v>735</v>
      </c>
      <c r="C166" s="234">
        <v>185784</v>
      </c>
      <c r="D166" s="235">
        <v>8955</v>
      </c>
      <c r="E166" s="135">
        <f t="shared" si="2"/>
        <v>194739</v>
      </c>
    </row>
    <row r="167" spans="1:5" ht="16.5">
      <c r="A167" s="230" t="s">
        <v>116</v>
      </c>
      <c r="B167" s="231" t="s">
        <v>736</v>
      </c>
      <c r="C167" s="234">
        <v>11179</v>
      </c>
      <c r="D167" s="235">
        <v>1023</v>
      </c>
      <c r="E167" s="135">
        <f t="shared" si="2"/>
        <v>12202</v>
      </c>
    </row>
    <row r="168" spans="1:5" ht="16.5">
      <c r="A168" s="230" t="s">
        <v>118</v>
      </c>
      <c r="B168" s="231" t="s">
        <v>737</v>
      </c>
      <c r="C168" s="234">
        <v>159036</v>
      </c>
      <c r="D168" s="235">
        <v>2530</v>
      </c>
      <c r="E168" s="135">
        <f t="shared" si="2"/>
        <v>161566</v>
      </c>
    </row>
    <row r="169" spans="1:5" ht="16.5">
      <c r="A169" s="230" t="s">
        <v>119</v>
      </c>
      <c r="B169" s="231" t="s">
        <v>738</v>
      </c>
      <c r="C169" s="234">
        <v>41104</v>
      </c>
      <c r="D169" s="235">
        <v>2136</v>
      </c>
      <c r="E169" s="135">
        <f t="shared" si="2"/>
        <v>43240</v>
      </c>
    </row>
    <row r="170" spans="1:5" ht="16.5">
      <c r="A170" s="230" t="s">
        <v>159</v>
      </c>
      <c r="B170" s="231" t="s">
        <v>739</v>
      </c>
      <c r="C170" s="234">
        <v>11423</v>
      </c>
      <c r="D170" s="235">
        <v>518</v>
      </c>
      <c r="E170" s="135">
        <f t="shared" si="2"/>
        <v>11941</v>
      </c>
    </row>
    <row r="171" spans="1:5" ht="16.5">
      <c r="A171" s="230" t="s">
        <v>163</v>
      </c>
      <c r="B171" s="231" t="s">
        <v>740</v>
      </c>
      <c r="C171" s="234">
        <v>134332</v>
      </c>
      <c r="D171" s="235">
        <v>8265</v>
      </c>
      <c r="E171" s="135">
        <f t="shared" si="2"/>
        <v>142597</v>
      </c>
    </row>
    <row r="172" spans="1:5" ht="16.5">
      <c r="A172" s="230" t="s">
        <v>165</v>
      </c>
      <c r="B172" s="231" t="s">
        <v>741</v>
      </c>
      <c r="C172" s="234">
        <v>461632</v>
      </c>
      <c r="D172" s="235">
        <v>11016</v>
      </c>
      <c r="E172" s="135">
        <f t="shared" si="2"/>
        <v>472648</v>
      </c>
    </row>
    <row r="173" spans="1:5" ht="16.5">
      <c r="A173" s="230" t="s">
        <v>167</v>
      </c>
      <c r="B173" s="231" t="s">
        <v>742</v>
      </c>
      <c r="C173" s="234">
        <v>872566</v>
      </c>
      <c r="D173" s="235">
        <v>15848</v>
      </c>
      <c r="E173" s="135">
        <f t="shared" si="2"/>
        <v>888414</v>
      </c>
    </row>
    <row r="174" spans="1:5" ht="16.5">
      <c r="A174" s="230" t="s">
        <v>169</v>
      </c>
      <c r="B174" s="231" t="s">
        <v>743</v>
      </c>
      <c r="C174" s="234">
        <v>7465</v>
      </c>
      <c r="D174" s="235">
        <v>1002</v>
      </c>
      <c r="E174" s="135">
        <f t="shared" si="2"/>
        <v>8467</v>
      </c>
    </row>
    <row r="175" spans="1:5" ht="16.5">
      <c r="A175" s="230" t="s">
        <v>0</v>
      </c>
      <c r="B175" s="231" t="s">
        <v>744</v>
      </c>
      <c r="C175" s="234">
        <v>43068</v>
      </c>
      <c r="D175" s="235">
        <v>2080</v>
      </c>
      <c r="E175" s="135">
        <f t="shared" si="2"/>
        <v>45148</v>
      </c>
    </row>
    <row r="176" spans="1:5" ht="16.5">
      <c r="A176" s="230" t="s">
        <v>2</v>
      </c>
      <c r="B176" s="231" t="s">
        <v>745</v>
      </c>
      <c r="C176" s="234">
        <v>3451036</v>
      </c>
      <c r="D176" s="235">
        <v>58788</v>
      </c>
      <c r="E176" s="136">
        <f t="shared" si="2"/>
        <v>3509824</v>
      </c>
    </row>
    <row r="177" spans="1:5" ht="16.5">
      <c r="A177" s="230" t="s">
        <v>388</v>
      </c>
      <c r="B177" s="231" t="s">
        <v>746</v>
      </c>
      <c r="C177" s="234">
        <v>55751</v>
      </c>
      <c r="D177" s="235">
        <v>1196</v>
      </c>
      <c r="E177" s="135">
        <f t="shared" si="2"/>
        <v>56947</v>
      </c>
    </row>
    <row r="178" spans="1:5" ht="16.5">
      <c r="A178" s="230" t="s">
        <v>391</v>
      </c>
      <c r="B178" s="231" t="s">
        <v>747</v>
      </c>
      <c r="C178" s="234">
        <v>26334</v>
      </c>
      <c r="D178" s="235">
        <v>606</v>
      </c>
      <c r="E178" s="135">
        <f t="shared" si="2"/>
        <v>26940</v>
      </c>
    </row>
    <row r="179" spans="1:5" ht="16.5">
      <c r="A179" s="230" t="s">
        <v>393</v>
      </c>
      <c r="B179" s="231" t="s">
        <v>748</v>
      </c>
      <c r="C179" s="234">
        <v>60166</v>
      </c>
      <c r="D179" s="235">
        <v>3145</v>
      </c>
      <c r="E179" s="135">
        <f t="shared" si="2"/>
        <v>63311</v>
      </c>
    </row>
    <row r="180" spans="1:5" ht="16.5">
      <c r="A180" s="230" t="s">
        <v>395</v>
      </c>
      <c r="B180" s="231" t="s">
        <v>749</v>
      </c>
      <c r="C180" s="234">
        <v>1850582</v>
      </c>
      <c r="D180" s="235">
        <v>59549</v>
      </c>
      <c r="E180" s="135">
        <f t="shared" si="2"/>
        <v>1910131</v>
      </c>
    </row>
    <row r="181" spans="1:5" ht="16.5">
      <c r="A181" s="230" t="s">
        <v>1515</v>
      </c>
      <c r="B181" s="231" t="s">
        <v>1567</v>
      </c>
      <c r="C181" s="234">
        <v>22419</v>
      </c>
      <c r="D181" s="235">
        <v>0</v>
      </c>
      <c r="E181" s="135">
        <f t="shared" si="2"/>
        <v>22419</v>
      </c>
    </row>
    <row r="182" spans="1:5" ht="16.5">
      <c r="A182" s="230" t="s">
        <v>397</v>
      </c>
      <c r="B182" s="231" t="s">
        <v>750</v>
      </c>
      <c r="C182" s="234">
        <v>170709</v>
      </c>
      <c r="D182" s="235">
        <v>9338</v>
      </c>
      <c r="E182" s="135">
        <f t="shared" si="2"/>
        <v>180047</v>
      </c>
    </row>
    <row r="183" spans="1:5" ht="16.5">
      <c r="A183" s="230" t="s">
        <v>399</v>
      </c>
      <c r="B183" s="231" t="s">
        <v>751</v>
      </c>
      <c r="C183" s="234">
        <v>80585</v>
      </c>
      <c r="D183" s="235">
        <v>3692</v>
      </c>
      <c r="E183" s="135">
        <f t="shared" si="2"/>
        <v>84277</v>
      </c>
    </row>
    <row r="184" spans="1:5" ht="16.5">
      <c r="A184" s="230" t="s">
        <v>401</v>
      </c>
      <c r="B184" s="231" t="s">
        <v>752</v>
      </c>
      <c r="C184" s="234">
        <v>891606</v>
      </c>
      <c r="D184" s="235">
        <v>31564</v>
      </c>
      <c r="E184" s="135">
        <f t="shared" si="2"/>
        <v>923170</v>
      </c>
    </row>
    <row r="185" spans="1:5" ht="16.5">
      <c r="A185" s="230" t="s">
        <v>384</v>
      </c>
      <c r="B185" s="231" t="s">
        <v>753</v>
      </c>
      <c r="C185" s="234">
        <v>279518</v>
      </c>
      <c r="D185" s="235">
        <v>17556</v>
      </c>
      <c r="E185" s="135">
        <f t="shared" si="2"/>
        <v>297074</v>
      </c>
    </row>
    <row r="186" spans="1:5" ht="16.5">
      <c r="A186" s="230" t="s">
        <v>386</v>
      </c>
      <c r="B186" s="231" t="s">
        <v>754</v>
      </c>
      <c r="C186" s="234">
        <v>53656</v>
      </c>
      <c r="D186" s="235">
        <v>1659</v>
      </c>
      <c r="E186" s="135">
        <f t="shared" si="2"/>
        <v>55315</v>
      </c>
    </row>
    <row r="187" spans="1:5" ht="16.5">
      <c r="A187" s="230" t="s">
        <v>936</v>
      </c>
      <c r="B187" s="231" t="s">
        <v>916</v>
      </c>
      <c r="C187" s="234">
        <v>115148</v>
      </c>
      <c r="D187" s="235">
        <v>0</v>
      </c>
      <c r="E187" s="135">
        <f t="shared" si="2"/>
        <v>115148</v>
      </c>
    </row>
    <row r="188" spans="1:5" ht="16.5">
      <c r="A188" s="230" t="s">
        <v>348</v>
      </c>
      <c r="B188" s="231" t="s">
        <v>755</v>
      </c>
      <c r="C188" s="234">
        <v>521425</v>
      </c>
      <c r="D188" s="235">
        <v>19048</v>
      </c>
      <c r="E188" s="135">
        <f t="shared" si="2"/>
        <v>540473</v>
      </c>
    </row>
    <row r="189" spans="1:5" ht="16.5">
      <c r="A189" s="230" t="s">
        <v>350</v>
      </c>
      <c r="B189" s="231" t="s">
        <v>756</v>
      </c>
      <c r="C189" s="234">
        <v>472636</v>
      </c>
      <c r="D189" s="235">
        <v>9538</v>
      </c>
      <c r="E189" s="135">
        <f t="shared" si="2"/>
        <v>482174</v>
      </c>
    </row>
    <row r="190" spans="1:5" ht="16.5">
      <c r="A190" s="230" t="s">
        <v>1518</v>
      </c>
      <c r="B190" s="231" t="s">
        <v>1570</v>
      </c>
      <c r="C190" s="234">
        <v>14980</v>
      </c>
      <c r="D190" s="235">
        <v>131</v>
      </c>
      <c r="E190" s="135">
        <f t="shared" si="2"/>
        <v>15111</v>
      </c>
    </row>
    <row r="191" spans="1:5" ht="16.5">
      <c r="A191" s="230" t="s">
        <v>352</v>
      </c>
      <c r="B191" s="231" t="s">
        <v>757</v>
      </c>
      <c r="C191" s="234">
        <v>4491683</v>
      </c>
      <c r="D191" s="235">
        <v>117062</v>
      </c>
      <c r="E191" s="135">
        <f t="shared" si="2"/>
        <v>4608745</v>
      </c>
    </row>
    <row r="192" spans="1:5" ht="16.5">
      <c r="A192" s="230" t="s">
        <v>354</v>
      </c>
      <c r="B192" s="231" t="s">
        <v>758</v>
      </c>
      <c r="C192" s="234">
        <v>11437</v>
      </c>
      <c r="D192" s="235">
        <v>531</v>
      </c>
      <c r="E192" s="135">
        <f t="shared" si="2"/>
        <v>11968</v>
      </c>
    </row>
    <row r="193" spans="1:5" ht="16.5">
      <c r="A193" s="230" t="s">
        <v>67</v>
      </c>
      <c r="B193" s="231" t="s">
        <v>759</v>
      </c>
      <c r="C193" s="234">
        <v>88769</v>
      </c>
      <c r="D193" s="235">
        <v>1774</v>
      </c>
      <c r="E193" s="135">
        <f t="shared" si="2"/>
        <v>90543</v>
      </c>
    </row>
    <row r="194" spans="1:5" ht="16.5">
      <c r="A194" s="230" t="s">
        <v>243</v>
      </c>
      <c r="B194" s="231" t="s">
        <v>760</v>
      </c>
      <c r="C194" s="234">
        <v>600765</v>
      </c>
      <c r="D194" s="235">
        <v>15168</v>
      </c>
      <c r="E194" s="135">
        <f t="shared" si="2"/>
        <v>615933</v>
      </c>
    </row>
    <row r="195" spans="1:5" ht="16.5">
      <c r="A195" s="230" t="s">
        <v>362</v>
      </c>
      <c r="B195" s="231" t="s">
        <v>761</v>
      </c>
      <c r="C195" s="234">
        <v>597068</v>
      </c>
      <c r="D195" s="235">
        <v>16623</v>
      </c>
      <c r="E195" s="135">
        <f t="shared" ref="E195:E258" si="3">C195+D195</f>
        <v>613691</v>
      </c>
    </row>
    <row r="196" spans="1:5" ht="16.5">
      <c r="A196" s="230" t="s">
        <v>364</v>
      </c>
      <c r="B196" s="231" t="s">
        <v>762</v>
      </c>
      <c r="C196" s="234">
        <v>186124</v>
      </c>
      <c r="D196" s="235">
        <v>3066</v>
      </c>
      <c r="E196" s="135">
        <f t="shared" si="3"/>
        <v>189190</v>
      </c>
    </row>
    <row r="197" spans="1:5" ht="16.5">
      <c r="A197" s="230" t="s">
        <v>935</v>
      </c>
      <c r="B197" s="231" t="s">
        <v>917</v>
      </c>
      <c r="C197" s="234">
        <v>60478</v>
      </c>
      <c r="D197" s="235">
        <v>248</v>
      </c>
      <c r="E197" s="135">
        <f t="shared" si="3"/>
        <v>60726</v>
      </c>
    </row>
    <row r="198" spans="1:5" ht="16.5">
      <c r="A198" s="230" t="s">
        <v>961</v>
      </c>
      <c r="B198" s="231" t="s">
        <v>1809</v>
      </c>
      <c r="C198" s="234">
        <v>92939</v>
      </c>
      <c r="D198" s="235">
        <v>118</v>
      </c>
      <c r="E198" s="135">
        <f t="shared" si="3"/>
        <v>93057</v>
      </c>
    </row>
    <row r="199" spans="1:5" ht="16.5">
      <c r="A199" s="230" t="s">
        <v>368</v>
      </c>
      <c r="B199" s="231" t="s">
        <v>764</v>
      </c>
      <c r="C199" s="234">
        <v>154802</v>
      </c>
      <c r="D199" s="235">
        <v>2044</v>
      </c>
      <c r="E199" s="135">
        <f t="shared" si="3"/>
        <v>156846</v>
      </c>
    </row>
    <row r="200" spans="1:5" ht="16.5">
      <c r="A200" s="230" t="s">
        <v>370</v>
      </c>
      <c r="B200" s="231" t="s">
        <v>765</v>
      </c>
      <c r="C200" s="234">
        <v>3105834</v>
      </c>
      <c r="D200" s="235">
        <v>85173</v>
      </c>
      <c r="E200" s="135">
        <f t="shared" si="3"/>
        <v>3191007</v>
      </c>
    </row>
    <row r="201" spans="1:5" ht="16.5">
      <c r="A201" s="230" t="s">
        <v>372</v>
      </c>
      <c r="B201" s="231" t="s">
        <v>766</v>
      </c>
      <c r="C201" s="234">
        <v>86921</v>
      </c>
      <c r="D201" s="235">
        <v>1271</v>
      </c>
      <c r="E201" s="135">
        <f t="shared" si="3"/>
        <v>88192</v>
      </c>
    </row>
    <row r="202" spans="1:5" ht="16.5">
      <c r="A202" s="230" t="s">
        <v>374</v>
      </c>
      <c r="B202" s="231" t="s">
        <v>767</v>
      </c>
      <c r="C202" s="234">
        <v>2584150</v>
      </c>
      <c r="D202" s="235">
        <v>58885</v>
      </c>
      <c r="E202" s="135">
        <f t="shared" si="3"/>
        <v>2643035</v>
      </c>
    </row>
    <row r="203" spans="1:5" ht="16.5">
      <c r="A203" s="230" t="s">
        <v>376</v>
      </c>
      <c r="B203" s="231" t="s">
        <v>918</v>
      </c>
      <c r="C203" s="234">
        <v>605979</v>
      </c>
      <c r="D203" s="235">
        <v>8264</v>
      </c>
      <c r="E203" s="135">
        <f t="shared" si="3"/>
        <v>614243</v>
      </c>
    </row>
    <row r="204" spans="1:5" ht="16.5">
      <c r="A204" s="230" t="s">
        <v>378</v>
      </c>
      <c r="B204" s="231" t="s">
        <v>768</v>
      </c>
      <c r="C204" s="234">
        <v>76352</v>
      </c>
      <c r="D204" s="235">
        <v>4197</v>
      </c>
      <c r="E204" s="135">
        <f t="shared" si="3"/>
        <v>80549</v>
      </c>
    </row>
    <row r="205" spans="1:5" ht="16.5">
      <c r="A205" s="230" t="s">
        <v>380</v>
      </c>
      <c r="B205" s="231" t="s">
        <v>769</v>
      </c>
      <c r="C205" s="234">
        <v>384959</v>
      </c>
      <c r="D205" s="235">
        <v>16793</v>
      </c>
      <c r="E205" s="135">
        <f t="shared" si="3"/>
        <v>401752</v>
      </c>
    </row>
    <row r="206" spans="1:5" ht="16.5">
      <c r="A206" s="230" t="s">
        <v>382</v>
      </c>
      <c r="B206" s="231" t="s">
        <v>770</v>
      </c>
      <c r="C206" s="234">
        <v>559256</v>
      </c>
      <c r="D206" s="235">
        <v>13672</v>
      </c>
      <c r="E206" s="135">
        <f t="shared" si="3"/>
        <v>572928</v>
      </c>
    </row>
    <row r="207" spans="1:5" ht="16.5">
      <c r="A207" s="230" t="s">
        <v>270</v>
      </c>
      <c r="B207" s="231" t="s">
        <v>771</v>
      </c>
      <c r="C207" s="234">
        <v>497604</v>
      </c>
      <c r="D207" s="235">
        <v>17162</v>
      </c>
      <c r="E207" s="135">
        <f t="shared" si="3"/>
        <v>514766</v>
      </c>
    </row>
    <row r="208" spans="1:5" ht="16.5">
      <c r="A208" s="230" t="s">
        <v>274</v>
      </c>
      <c r="B208" s="231" t="s">
        <v>772</v>
      </c>
      <c r="C208" s="234">
        <v>44421</v>
      </c>
      <c r="D208" s="235">
        <v>1604</v>
      </c>
      <c r="E208" s="135">
        <f t="shared" si="3"/>
        <v>46025</v>
      </c>
    </row>
    <row r="209" spans="1:5" ht="16.5">
      <c r="A209" s="230" t="s">
        <v>276</v>
      </c>
      <c r="B209" s="231" t="s">
        <v>773</v>
      </c>
      <c r="C209" s="234">
        <v>338567</v>
      </c>
      <c r="D209" s="235">
        <v>16098</v>
      </c>
      <c r="E209" s="135">
        <f t="shared" si="3"/>
        <v>354665</v>
      </c>
    </row>
    <row r="210" spans="1:5" ht="16.5">
      <c r="A210" s="230" t="s">
        <v>546</v>
      </c>
      <c r="B210" s="231" t="s">
        <v>853</v>
      </c>
      <c r="C210" s="234">
        <v>187896</v>
      </c>
      <c r="D210" s="235">
        <v>6489</v>
      </c>
      <c r="E210" s="135">
        <f t="shared" si="3"/>
        <v>194385</v>
      </c>
    </row>
    <row r="211" spans="1:5" ht="16.5">
      <c r="A211" s="230" t="s">
        <v>547</v>
      </c>
      <c r="B211" s="231" t="s">
        <v>774</v>
      </c>
      <c r="C211" s="234">
        <v>14243</v>
      </c>
      <c r="D211" s="235">
        <v>530</v>
      </c>
      <c r="E211" s="135">
        <f t="shared" si="3"/>
        <v>14773</v>
      </c>
    </row>
    <row r="212" spans="1:5" ht="16.5">
      <c r="A212" s="230" t="s">
        <v>549</v>
      </c>
      <c r="B212" s="231" t="s">
        <v>775</v>
      </c>
      <c r="C212" s="234">
        <v>11636528</v>
      </c>
      <c r="D212" s="235">
        <v>285017</v>
      </c>
      <c r="E212" s="135">
        <f t="shared" si="3"/>
        <v>11921545</v>
      </c>
    </row>
    <row r="213" spans="1:5" ht="16.5">
      <c r="A213" s="230" t="s">
        <v>551</v>
      </c>
      <c r="B213" s="231" t="s">
        <v>857</v>
      </c>
      <c r="C213" s="234">
        <v>931913</v>
      </c>
      <c r="D213" s="235">
        <v>45865</v>
      </c>
      <c r="E213" s="135">
        <f t="shared" si="3"/>
        <v>977778</v>
      </c>
    </row>
    <row r="214" spans="1:5" ht="16.5">
      <c r="A214" s="230" t="s">
        <v>553</v>
      </c>
      <c r="B214" s="231" t="s">
        <v>776</v>
      </c>
      <c r="C214" s="234">
        <v>797692</v>
      </c>
      <c r="D214" s="235">
        <v>16869</v>
      </c>
      <c r="E214" s="135">
        <f t="shared" si="3"/>
        <v>814561</v>
      </c>
    </row>
    <row r="215" spans="1:5" ht="16.5">
      <c r="A215" s="230" t="s">
        <v>555</v>
      </c>
      <c r="B215" s="231" t="s">
        <v>777</v>
      </c>
      <c r="C215" s="234">
        <v>68977</v>
      </c>
      <c r="D215" s="235">
        <v>7551</v>
      </c>
      <c r="E215" s="135">
        <f t="shared" si="3"/>
        <v>76528</v>
      </c>
    </row>
    <row r="216" spans="1:5" ht="16.5">
      <c r="A216" s="230" t="s">
        <v>557</v>
      </c>
      <c r="B216" s="231" t="s">
        <v>778</v>
      </c>
      <c r="C216" s="234">
        <v>508792</v>
      </c>
      <c r="D216" s="235">
        <v>12618</v>
      </c>
      <c r="E216" s="135">
        <f t="shared" si="3"/>
        <v>521410</v>
      </c>
    </row>
    <row r="217" spans="1:5" ht="16.5">
      <c r="A217" s="230" t="s">
        <v>559</v>
      </c>
      <c r="B217" s="231" t="s">
        <v>779</v>
      </c>
      <c r="C217" s="234">
        <v>1701</v>
      </c>
      <c r="D217" s="235">
        <v>498</v>
      </c>
      <c r="E217" s="135">
        <f t="shared" si="3"/>
        <v>2199</v>
      </c>
    </row>
    <row r="218" spans="1:5" ht="16.5">
      <c r="A218" s="230" t="s">
        <v>561</v>
      </c>
      <c r="B218" s="231" t="s">
        <v>780</v>
      </c>
      <c r="C218" s="234">
        <v>927463</v>
      </c>
      <c r="D218" s="235">
        <v>33791</v>
      </c>
      <c r="E218" s="135">
        <f t="shared" si="3"/>
        <v>961254</v>
      </c>
    </row>
    <row r="219" spans="1:5" ht="16.5">
      <c r="A219" s="230" t="s">
        <v>563</v>
      </c>
      <c r="B219" s="231" t="s">
        <v>781</v>
      </c>
      <c r="C219" s="234">
        <v>2210077</v>
      </c>
      <c r="D219" s="235">
        <v>75194</v>
      </c>
      <c r="E219" s="135">
        <f t="shared" si="3"/>
        <v>2285271</v>
      </c>
    </row>
    <row r="220" spans="1:5" ht="16.5">
      <c r="A220" s="230" t="s">
        <v>77</v>
      </c>
      <c r="B220" s="231" t="s">
        <v>782</v>
      </c>
      <c r="C220" s="234">
        <v>11428</v>
      </c>
      <c r="D220" s="235">
        <v>1013</v>
      </c>
      <c r="E220" s="135">
        <f t="shared" si="3"/>
        <v>12441</v>
      </c>
    </row>
    <row r="221" spans="1:5" ht="16.5">
      <c r="A221" s="230" t="s">
        <v>79</v>
      </c>
      <c r="B221" s="231" t="s">
        <v>783</v>
      </c>
      <c r="C221" s="234">
        <v>1730902</v>
      </c>
      <c r="D221" s="235">
        <v>71741</v>
      </c>
      <c r="E221" s="135">
        <f t="shared" si="3"/>
        <v>1802643</v>
      </c>
    </row>
    <row r="222" spans="1:5" ht="16.5">
      <c r="A222" s="230" t="s">
        <v>81</v>
      </c>
      <c r="B222" s="231" t="s">
        <v>784</v>
      </c>
      <c r="C222" s="234">
        <v>1141977</v>
      </c>
      <c r="D222" s="235">
        <v>29785</v>
      </c>
      <c r="E222" s="135">
        <f t="shared" si="3"/>
        <v>1171762</v>
      </c>
    </row>
    <row r="223" spans="1:5" ht="16.5">
      <c r="A223" s="230" t="s">
        <v>83</v>
      </c>
      <c r="B223" s="231" t="s">
        <v>785</v>
      </c>
      <c r="C223" s="234">
        <v>118247</v>
      </c>
      <c r="D223" s="235">
        <v>2390</v>
      </c>
      <c r="E223" s="135">
        <f t="shared" si="3"/>
        <v>120637</v>
      </c>
    </row>
    <row r="224" spans="1:5" ht="16.5">
      <c r="A224" s="230" t="s">
        <v>85</v>
      </c>
      <c r="B224" s="231" t="s">
        <v>786</v>
      </c>
      <c r="C224" s="234">
        <v>128376</v>
      </c>
      <c r="D224" s="235">
        <v>2912</v>
      </c>
      <c r="E224" s="135">
        <f t="shared" si="3"/>
        <v>131288</v>
      </c>
    </row>
    <row r="225" spans="1:5" ht="16.5">
      <c r="A225" s="230" t="s">
        <v>567</v>
      </c>
      <c r="B225" s="231" t="s">
        <v>787</v>
      </c>
      <c r="C225" s="234">
        <v>2117929</v>
      </c>
      <c r="D225" s="235">
        <v>52078</v>
      </c>
      <c r="E225" s="135">
        <f t="shared" si="3"/>
        <v>2170007</v>
      </c>
    </row>
    <row r="226" spans="1:5" ht="16.5">
      <c r="A226" s="230" t="s">
        <v>569</v>
      </c>
      <c r="B226" s="231" t="s">
        <v>788</v>
      </c>
      <c r="C226" s="234">
        <v>332764</v>
      </c>
      <c r="D226" s="235">
        <v>10219</v>
      </c>
      <c r="E226" s="135">
        <f t="shared" si="3"/>
        <v>342983</v>
      </c>
    </row>
    <row r="227" spans="1:5" ht="16.5">
      <c r="A227" s="230" t="s">
        <v>571</v>
      </c>
      <c r="B227" s="231" t="s">
        <v>789</v>
      </c>
      <c r="C227" s="234">
        <v>42935</v>
      </c>
      <c r="D227" s="235">
        <v>1117</v>
      </c>
      <c r="E227" s="135">
        <f t="shared" si="3"/>
        <v>44052</v>
      </c>
    </row>
    <row r="228" spans="1:5" ht="16.5">
      <c r="A228" s="230" t="s">
        <v>573</v>
      </c>
      <c r="B228" s="231" t="s">
        <v>790</v>
      </c>
      <c r="C228" s="234">
        <v>6690273</v>
      </c>
      <c r="D228" s="235">
        <v>172082</v>
      </c>
      <c r="E228" s="135">
        <f t="shared" si="3"/>
        <v>6862355</v>
      </c>
    </row>
    <row r="229" spans="1:5" ht="16.5">
      <c r="A229" s="230" t="s">
        <v>937</v>
      </c>
      <c r="B229" s="231" t="s">
        <v>921</v>
      </c>
      <c r="C229" s="234">
        <v>106657</v>
      </c>
      <c r="D229" s="235">
        <v>813</v>
      </c>
      <c r="E229" s="135">
        <f t="shared" si="3"/>
        <v>107470</v>
      </c>
    </row>
    <row r="230" spans="1:5" ht="16.5">
      <c r="A230" s="230" t="s">
        <v>541</v>
      </c>
      <c r="B230" s="231" t="s">
        <v>791</v>
      </c>
      <c r="C230" s="234">
        <v>19928</v>
      </c>
      <c r="D230" s="235">
        <v>545</v>
      </c>
      <c r="E230" s="135">
        <f t="shared" si="3"/>
        <v>20473</v>
      </c>
    </row>
    <row r="231" spans="1:5" ht="16.5">
      <c r="A231" s="230" t="s">
        <v>543</v>
      </c>
      <c r="B231" s="231" t="s">
        <v>854</v>
      </c>
      <c r="C231" s="234">
        <v>29947</v>
      </c>
      <c r="D231" s="235">
        <v>2554</v>
      </c>
      <c r="E231" s="135">
        <f t="shared" si="3"/>
        <v>32501</v>
      </c>
    </row>
    <row r="232" spans="1:5" ht="16.5">
      <c r="A232" s="230" t="s">
        <v>57</v>
      </c>
      <c r="B232" s="231" t="s">
        <v>792</v>
      </c>
      <c r="C232" s="234">
        <v>893894</v>
      </c>
      <c r="D232" s="235">
        <v>35398</v>
      </c>
      <c r="E232" s="135">
        <f t="shared" si="3"/>
        <v>929292</v>
      </c>
    </row>
    <row r="233" spans="1:5" ht="16.5">
      <c r="A233" s="230" t="s">
        <v>59</v>
      </c>
      <c r="B233" s="231" t="s">
        <v>793</v>
      </c>
      <c r="C233" s="234">
        <v>2056</v>
      </c>
      <c r="D233" s="235">
        <v>991</v>
      </c>
      <c r="E233" s="135">
        <f t="shared" si="3"/>
        <v>3047</v>
      </c>
    </row>
    <row r="234" spans="1:5" ht="16.5">
      <c r="A234" s="230" t="s">
        <v>61</v>
      </c>
      <c r="B234" s="231" t="s">
        <v>794</v>
      </c>
      <c r="C234" s="234">
        <v>6863</v>
      </c>
      <c r="D234" s="235">
        <v>1002</v>
      </c>
      <c r="E234" s="135">
        <f t="shared" si="3"/>
        <v>7865</v>
      </c>
    </row>
    <row r="235" spans="1:5" ht="16.5">
      <c r="A235" s="230" t="s">
        <v>63</v>
      </c>
      <c r="B235" s="231" t="s">
        <v>795</v>
      </c>
      <c r="C235" s="234">
        <v>1300</v>
      </c>
      <c r="D235" s="235">
        <v>6</v>
      </c>
      <c r="E235" s="135">
        <f t="shared" si="3"/>
        <v>1306</v>
      </c>
    </row>
    <row r="236" spans="1:5" ht="16.5">
      <c r="A236" s="230" t="s">
        <v>65</v>
      </c>
      <c r="B236" s="231" t="s">
        <v>855</v>
      </c>
      <c r="C236" s="234">
        <v>526316</v>
      </c>
      <c r="D236" s="235">
        <v>19184</v>
      </c>
      <c r="E236" s="135">
        <f t="shared" si="3"/>
        <v>545500</v>
      </c>
    </row>
    <row r="237" spans="1:5" ht="16.5">
      <c r="A237" s="230" t="s">
        <v>66</v>
      </c>
      <c r="B237" s="231" t="s">
        <v>796</v>
      </c>
      <c r="C237" s="234">
        <v>8979</v>
      </c>
      <c r="D237" s="235">
        <v>522</v>
      </c>
      <c r="E237" s="135">
        <f t="shared" si="3"/>
        <v>9501</v>
      </c>
    </row>
    <row r="238" spans="1:5" ht="16.5">
      <c r="A238" s="230" t="s">
        <v>7</v>
      </c>
      <c r="B238" s="231" t="s">
        <v>797</v>
      </c>
      <c r="C238" s="234">
        <v>458854</v>
      </c>
      <c r="D238" s="235">
        <v>23494</v>
      </c>
      <c r="E238" s="135">
        <f t="shared" si="3"/>
        <v>482348</v>
      </c>
    </row>
    <row r="239" spans="1:5" ht="16.5">
      <c r="A239" s="230" t="s">
        <v>954</v>
      </c>
      <c r="B239" s="231" t="s">
        <v>960</v>
      </c>
      <c r="C239" s="234">
        <v>143422</v>
      </c>
      <c r="D239" s="235">
        <v>300</v>
      </c>
      <c r="E239" s="135">
        <f t="shared" si="3"/>
        <v>143722</v>
      </c>
    </row>
    <row r="240" spans="1:5" ht="16.5">
      <c r="A240" s="230" t="s">
        <v>934</v>
      </c>
      <c r="B240" s="231" t="s">
        <v>923</v>
      </c>
      <c r="C240" s="234">
        <v>41412</v>
      </c>
      <c r="D240" s="235">
        <v>127</v>
      </c>
      <c r="E240" s="135">
        <f t="shared" si="3"/>
        <v>41539</v>
      </c>
    </row>
    <row r="241" spans="1:5" ht="16.5">
      <c r="A241" s="230" t="s">
        <v>933</v>
      </c>
      <c r="B241" s="231" t="s">
        <v>924</v>
      </c>
      <c r="C241" s="234">
        <v>51519</v>
      </c>
      <c r="D241" s="235">
        <v>194</v>
      </c>
      <c r="E241" s="135">
        <f t="shared" si="3"/>
        <v>51713</v>
      </c>
    </row>
    <row r="242" spans="1:5" ht="16.5">
      <c r="A242" s="230" t="s">
        <v>9</v>
      </c>
      <c r="B242" s="231" t="s">
        <v>798</v>
      </c>
      <c r="C242" s="234">
        <v>17495</v>
      </c>
      <c r="D242" s="235">
        <v>556</v>
      </c>
      <c r="E242" s="135">
        <f t="shared" si="3"/>
        <v>18051</v>
      </c>
    </row>
    <row r="243" spans="1:5" ht="16.5">
      <c r="A243" s="230" t="s">
        <v>246</v>
      </c>
      <c r="B243" s="231" t="s">
        <v>799</v>
      </c>
      <c r="C243" s="234">
        <v>1874856</v>
      </c>
      <c r="D243" s="235">
        <v>45081</v>
      </c>
      <c r="E243" s="135">
        <f t="shared" si="3"/>
        <v>1919937</v>
      </c>
    </row>
    <row r="244" spans="1:5" ht="16.5">
      <c r="A244" s="230" t="s">
        <v>248</v>
      </c>
      <c r="B244" s="231" t="s">
        <v>800</v>
      </c>
      <c r="C244" s="234">
        <v>1367208</v>
      </c>
      <c r="D244" s="235">
        <v>38852</v>
      </c>
      <c r="E244" s="135">
        <f t="shared" si="3"/>
        <v>1406060</v>
      </c>
    </row>
    <row r="245" spans="1:5" ht="16.5">
      <c r="A245" s="230" t="s">
        <v>881</v>
      </c>
      <c r="B245" s="231" t="s">
        <v>896</v>
      </c>
      <c r="C245" s="234">
        <v>61200</v>
      </c>
      <c r="D245" s="235">
        <v>60</v>
      </c>
      <c r="E245" s="135">
        <f t="shared" si="3"/>
        <v>61260</v>
      </c>
    </row>
    <row r="246" spans="1:5" ht="16.5">
      <c r="A246" s="230" t="s">
        <v>250</v>
      </c>
      <c r="B246" s="231" t="s">
        <v>801</v>
      </c>
      <c r="C246" s="234">
        <v>6927515</v>
      </c>
      <c r="D246" s="235">
        <v>234579</v>
      </c>
      <c r="E246" s="135">
        <f t="shared" si="3"/>
        <v>7162094</v>
      </c>
    </row>
    <row r="247" spans="1:5" ht="16.5">
      <c r="A247" s="230" t="s">
        <v>252</v>
      </c>
      <c r="B247" s="231" t="s">
        <v>802</v>
      </c>
      <c r="C247" s="234">
        <v>45952</v>
      </c>
      <c r="D247" s="235">
        <v>2085</v>
      </c>
      <c r="E247" s="135">
        <f t="shared" si="3"/>
        <v>48037</v>
      </c>
    </row>
    <row r="248" spans="1:5" ht="16.5">
      <c r="A248" s="230" t="s">
        <v>254</v>
      </c>
      <c r="B248" s="231" t="s">
        <v>803</v>
      </c>
      <c r="C248" s="234">
        <v>1548507</v>
      </c>
      <c r="D248" s="235">
        <v>40762</v>
      </c>
      <c r="E248" s="135">
        <f t="shared" si="3"/>
        <v>1589269</v>
      </c>
    </row>
    <row r="249" spans="1:5" ht="16.5">
      <c r="A249" s="230" t="s">
        <v>256</v>
      </c>
      <c r="B249" s="231" t="s">
        <v>804</v>
      </c>
      <c r="C249" s="234">
        <v>40319</v>
      </c>
      <c r="D249" s="235">
        <v>1137</v>
      </c>
      <c r="E249" s="135">
        <f t="shared" si="3"/>
        <v>41456</v>
      </c>
    </row>
    <row r="250" spans="1:5" ht="16.5">
      <c r="A250" s="230" t="s">
        <v>258</v>
      </c>
      <c r="B250" s="231" t="s">
        <v>805</v>
      </c>
      <c r="C250" s="234">
        <v>287681</v>
      </c>
      <c r="D250" s="235">
        <v>10695</v>
      </c>
      <c r="E250" s="135">
        <f t="shared" si="3"/>
        <v>298376</v>
      </c>
    </row>
    <row r="251" spans="1:5" ht="16.5">
      <c r="A251" s="230" t="s">
        <v>260</v>
      </c>
      <c r="B251" s="231" t="s">
        <v>806</v>
      </c>
      <c r="C251" s="234">
        <v>47114</v>
      </c>
      <c r="D251" s="235">
        <v>2126</v>
      </c>
      <c r="E251" s="135">
        <f t="shared" si="3"/>
        <v>49240</v>
      </c>
    </row>
    <row r="252" spans="1:5" ht="16.5">
      <c r="A252" s="230" t="s">
        <v>262</v>
      </c>
      <c r="B252" s="231" t="s">
        <v>807</v>
      </c>
      <c r="C252" s="234">
        <v>191039</v>
      </c>
      <c r="D252" s="235">
        <v>6450</v>
      </c>
      <c r="E252" s="135">
        <f t="shared" si="3"/>
        <v>197489</v>
      </c>
    </row>
    <row r="253" spans="1:5" ht="16.5">
      <c r="A253" s="230" t="s">
        <v>264</v>
      </c>
      <c r="B253" s="231" t="s">
        <v>808</v>
      </c>
      <c r="C253" s="234">
        <v>253879</v>
      </c>
      <c r="D253" s="235">
        <v>10712</v>
      </c>
      <c r="E253" s="135">
        <f t="shared" si="3"/>
        <v>264591</v>
      </c>
    </row>
    <row r="254" spans="1:5" ht="16.5">
      <c r="A254" s="230" t="s">
        <v>266</v>
      </c>
      <c r="B254" s="231" t="s">
        <v>809</v>
      </c>
      <c r="C254" s="234">
        <v>891128</v>
      </c>
      <c r="D254" s="235">
        <v>24009</v>
      </c>
      <c r="E254" s="135">
        <f t="shared" si="3"/>
        <v>915137</v>
      </c>
    </row>
    <row r="255" spans="1:5" ht="16.5">
      <c r="A255" s="230" t="s">
        <v>268</v>
      </c>
      <c r="B255" s="231" t="s">
        <v>810</v>
      </c>
      <c r="C255" s="234">
        <v>44693</v>
      </c>
      <c r="D255" s="235">
        <v>1122</v>
      </c>
      <c r="E255" s="135">
        <f t="shared" si="3"/>
        <v>45815</v>
      </c>
    </row>
    <row r="256" spans="1:5" ht="16.5">
      <c r="A256" s="230" t="s">
        <v>566</v>
      </c>
      <c r="B256" s="231" t="s">
        <v>811</v>
      </c>
      <c r="C256" s="234">
        <v>538523</v>
      </c>
      <c r="D256" s="235">
        <v>19051</v>
      </c>
      <c r="E256" s="135">
        <f t="shared" si="3"/>
        <v>557574</v>
      </c>
    </row>
    <row r="257" spans="1:5" ht="16.5">
      <c r="A257" s="230" t="s">
        <v>189</v>
      </c>
      <c r="B257" s="231" t="s">
        <v>812</v>
      </c>
      <c r="C257" s="234">
        <v>1281555</v>
      </c>
      <c r="D257" s="235">
        <v>43545</v>
      </c>
      <c r="E257" s="135">
        <f t="shared" si="3"/>
        <v>1325100</v>
      </c>
    </row>
    <row r="258" spans="1:5" ht="16.5">
      <c r="A258" s="230" t="s">
        <v>191</v>
      </c>
      <c r="B258" s="231" t="s">
        <v>813</v>
      </c>
      <c r="C258" s="234">
        <v>180033</v>
      </c>
      <c r="D258" s="235">
        <v>12893</v>
      </c>
      <c r="E258" s="135">
        <f t="shared" si="3"/>
        <v>192926</v>
      </c>
    </row>
    <row r="259" spans="1:5" ht="16.5">
      <c r="A259" s="230" t="s">
        <v>193</v>
      </c>
      <c r="B259" s="231" t="s">
        <v>814</v>
      </c>
      <c r="C259" s="234">
        <v>1121414</v>
      </c>
      <c r="D259" s="235">
        <v>27662</v>
      </c>
      <c r="E259" s="135">
        <f t="shared" ref="E259:E288" si="4">C259+D259</f>
        <v>1149076</v>
      </c>
    </row>
    <row r="260" spans="1:5" ht="16.5">
      <c r="A260" s="230" t="s">
        <v>278</v>
      </c>
      <c r="B260" s="231" t="s">
        <v>856</v>
      </c>
      <c r="C260" s="234">
        <v>181303</v>
      </c>
      <c r="D260" s="235">
        <v>1800</v>
      </c>
      <c r="E260" s="135">
        <f t="shared" si="4"/>
        <v>183103</v>
      </c>
    </row>
    <row r="261" spans="1:5" ht="16.5">
      <c r="A261" s="230" t="s">
        <v>280</v>
      </c>
      <c r="B261" s="231" t="s">
        <v>815</v>
      </c>
      <c r="C261" s="234">
        <v>4518412</v>
      </c>
      <c r="D261" s="235">
        <v>113681</v>
      </c>
      <c r="E261" s="135">
        <f t="shared" si="4"/>
        <v>4632093</v>
      </c>
    </row>
    <row r="262" spans="1:5" ht="16.5">
      <c r="A262" s="230" t="s">
        <v>501</v>
      </c>
      <c r="B262" s="231" t="s">
        <v>816</v>
      </c>
      <c r="C262" s="234">
        <v>293930</v>
      </c>
      <c r="D262" s="235">
        <v>7869</v>
      </c>
      <c r="E262" s="135">
        <f t="shared" si="4"/>
        <v>301799</v>
      </c>
    </row>
    <row r="263" spans="1:5" ht="16.5">
      <c r="A263" s="230" t="s">
        <v>837</v>
      </c>
      <c r="B263" s="231" t="s">
        <v>1810</v>
      </c>
      <c r="C263" s="234">
        <v>109224</v>
      </c>
      <c r="D263" s="235">
        <v>1068</v>
      </c>
      <c r="E263" s="135">
        <f t="shared" si="4"/>
        <v>110292</v>
      </c>
    </row>
    <row r="264" spans="1:5" ht="16.5">
      <c r="A264" s="230" t="s">
        <v>587</v>
      </c>
      <c r="B264" s="231" t="s">
        <v>871</v>
      </c>
      <c r="C264" s="234">
        <v>43946</v>
      </c>
      <c r="D264" s="235">
        <v>1028</v>
      </c>
      <c r="E264" s="135">
        <f t="shared" si="4"/>
        <v>44974</v>
      </c>
    </row>
    <row r="265" spans="1:5" ht="16.5">
      <c r="A265" s="230" t="s">
        <v>505</v>
      </c>
      <c r="B265" s="231" t="s">
        <v>817</v>
      </c>
      <c r="C265" s="234">
        <v>493589</v>
      </c>
      <c r="D265" s="235">
        <v>17282</v>
      </c>
      <c r="E265" s="135">
        <f t="shared" si="4"/>
        <v>510871</v>
      </c>
    </row>
    <row r="266" spans="1:5" ht="16.5">
      <c r="A266" s="230" t="s">
        <v>507</v>
      </c>
      <c r="B266" s="231" t="s">
        <v>818</v>
      </c>
      <c r="C266" s="234">
        <v>67057</v>
      </c>
      <c r="D266" s="235">
        <v>682</v>
      </c>
      <c r="E266" s="135">
        <f t="shared" si="4"/>
        <v>67739</v>
      </c>
    </row>
    <row r="267" spans="1:5" ht="16.5">
      <c r="A267" s="230" t="s">
        <v>509</v>
      </c>
      <c r="B267" s="231" t="s">
        <v>819</v>
      </c>
      <c r="C267" s="234">
        <v>1219422</v>
      </c>
      <c r="D267" s="235">
        <v>29137</v>
      </c>
      <c r="E267" s="135">
        <f t="shared" si="4"/>
        <v>1248559</v>
      </c>
    </row>
    <row r="268" spans="1:5" ht="16.5">
      <c r="A268" s="230" t="s">
        <v>511</v>
      </c>
      <c r="B268" s="231" t="s">
        <v>820</v>
      </c>
      <c r="C268" s="234">
        <v>722182</v>
      </c>
      <c r="D268" s="235">
        <v>37447</v>
      </c>
      <c r="E268" s="135">
        <f t="shared" si="4"/>
        <v>759629</v>
      </c>
    </row>
    <row r="269" spans="1:5" ht="16.5">
      <c r="A269" s="230" t="s">
        <v>32</v>
      </c>
      <c r="B269" s="231" t="s">
        <v>821</v>
      </c>
      <c r="C269" s="234">
        <v>201837</v>
      </c>
      <c r="D269" s="235">
        <v>12008</v>
      </c>
      <c r="E269" s="135">
        <f t="shared" si="4"/>
        <v>213845</v>
      </c>
    </row>
    <row r="270" spans="1:5" ht="16.5">
      <c r="A270" s="230" t="s">
        <v>34</v>
      </c>
      <c r="B270" s="231" t="s">
        <v>822</v>
      </c>
      <c r="C270" s="234">
        <v>582436</v>
      </c>
      <c r="D270" s="235">
        <v>28982</v>
      </c>
      <c r="E270" s="135">
        <f t="shared" si="4"/>
        <v>611418</v>
      </c>
    </row>
    <row r="271" spans="1:5" ht="16.5">
      <c r="A271" s="230" t="s">
        <v>36</v>
      </c>
      <c r="B271" s="231" t="s">
        <v>823</v>
      </c>
      <c r="C271" s="234">
        <v>21786</v>
      </c>
      <c r="D271" s="235">
        <v>1051</v>
      </c>
      <c r="E271" s="135">
        <f t="shared" si="4"/>
        <v>22837</v>
      </c>
    </row>
    <row r="272" spans="1:5" ht="16.5">
      <c r="A272" s="230" t="s">
        <v>522</v>
      </c>
      <c r="B272" s="231" t="s">
        <v>824</v>
      </c>
      <c r="C272" s="234">
        <v>90450</v>
      </c>
      <c r="D272" s="235">
        <v>1292</v>
      </c>
      <c r="E272" s="135">
        <f t="shared" si="4"/>
        <v>91742</v>
      </c>
    </row>
    <row r="273" spans="1:5" ht="16.5">
      <c r="A273" s="230" t="s">
        <v>485</v>
      </c>
      <c r="B273" s="231" t="s">
        <v>825</v>
      </c>
      <c r="C273" s="234">
        <v>1497011</v>
      </c>
      <c r="D273" s="235">
        <v>57548</v>
      </c>
      <c r="E273" s="135">
        <f t="shared" si="4"/>
        <v>1554559</v>
      </c>
    </row>
    <row r="274" spans="1:5" ht="16.5">
      <c r="A274" s="230" t="s">
        <v>298</v>
      </c>
      <c r="B274" s="231" t="s">
        <v>865</v>
      </c>
      <c r="C274" s="234">
        <v>718977</v>
      </c>
      <c r="D274" s="235">
        <v>30903</v>
      </c>
      <c r="E274" s="135">
        <f t="shared" si="4"/>
        <v>749880</v>
      </c>
    </row>
    <row r="275" spans="1:5" ht="16.5">
      <c r="A275" s="230" t="s">
        <v>299</v>
      </c>
      <c r="B275" s="231" t="s">
        <v>866</v>
      </c>
      <c r="C275" s="234">
        <v>1098842</v>
      </c>
      <c r="D275" s="235">
        <v>33292</v>
      </c>
      <c r="E275" s="135">
        <f t="shared" si="4"/>
        <v>1132134</v>
      </c>
    </row>
    <row r="276" spans="1:5" ht="16.5">
      <c r="A276" s="230" t="s">
        <v>1311</v>
      </c>
      <c r="B276" s="231" t="s">
        <v>1312</v>
      </c>
      <c r="C276" s="234">
        <v>10181</v>
      </c>
      <c r="D276" s="235">
        <v>0</v>
      </c>
      <c r="E276" s="135">
        <f t="shared" si="4"/>
        <v>10181</v>
      </c>
    </row>
    <row r="277" spans="1:5" ht="16.5">
      <c r="A277" s="230" t="s">
        <v>300</v>
      </c>
      <c r="B277" s="231" t="s">
        <v>826</v>
      </c>
      <c r="C277" s="234">
        <v>122137</v>
      </c>
      <c r="D277" s="235">
        <v>6159</v>
      </c>
      <c r="E277" s="135">
        <f t="shared" si="4"/>
        <v>128296</v>
      </c>
    </row>
    <row r="278" spans="1:5" ht="16.5">
      <c r="A278" s="230" t="s">
        <v>302</v>
      </c>
      <c r="B278" s="231" t="s">
        <v>827</v>
      </c>
      <c r="C278" s="234">
        <v>831087</v>
      </c>
      <c r="D278" s="235">
        <v>21918</v>
      </c>
      <c r="E278" s="135">
        <f t="shared" si="4"/>
        <v>853005</v>
      </c>
    </row>
    <row r="279" spans="1:5" ht="16.5">
      <c r="A279" s="230" t="s">
        <v>1161</v>
      </c>
      <c r="B279" s="231" t="s">
        <v>1811</v>
      </c>
      <c r="C279" s="234">
        <v>28555</v>
      </c>
      <c r="D279" s="235">
        <v>0</v>
      </c>
      <c r="E279" s="135">
        <f t="shared" si="4"/>
        <v>28555</v>
      </c>
    </row>
    <row r="280" spans="1:5" ht="16.5">
      <c r="A280" s="230" t="s">
        <v>306</v>
      </c>
      <c r="B280" s="231" t="s">
        <v>828</v>
      </c>
      <c r="C280" s="234">
        <v>48898</v>
      </c>
      <c r="D280" s="235">
        <v>633</v>
      </c>
      <c r="E280" s="135">
        <f t="shared" si="4"/>
        <v>49531</v>
      </c>
    </row>
    <row r="281" spans="1:5" ht="16.5">
      <c r="A281" s="230" t="s">
        <v>308</v>
      </c>
      <c r="B281" s="231" t="s">
        <v>829</v>
      </c>
      <c r="C281" s="234">
        <v>80306</v>
      </c>
      <c r="D281" s="235">
        <v>2227</v>
      </c>
      <c r="E281" s="135">
        <f t="shared" si="4"/>
        <v>82533</v>
      </c>
    </row>
    <row r="282" spans="1:5" ht="16.5">
      <c r="A282" s="230" t="s">
        <v>310</v>
      </c>
      <c r="B282" s="231" t="s">
        <v>830</v>
      </c>
      <c r="C282" s="234">
        <v>24773</v>
      </c>
      <c r="D282" s="235">
        <v>1072</v>
      </c>
      <c r="E282" s="135">
        <f t="shared" si="4"/>
        <v>25845</v>
      </c>
    </row>
    <row r="283" spans="1:5" ht="16.5">
      <c r="A283" s="230" t="s">
        <v>312</v>
      </c>
      <c r="B283" s="231" t="s">
        <v>831</v>
      </c>
      <c r="C283" s="234">
        <v>180824</v>
      </c>
      <c r="D283" s="235">
        <v>9930</v>
      </c>
      <c r="E283" s="135">
        <f t="shared" si="4"/>
        <v>190754</v>
      </c>
    </row>
    <row r="284" spans="1:5" ht="16.5">
      <c r="A284" s="230" t="s">
        <v>173</v>
      </c>
      <c r="B284" s="231" t="s">
        <v>832</v>
      </c>
      <c r="C284" s="234">
        <v>33730</v>
      </c>
      <c r="D284" s="235">
        <v>3064</v>
      </c>
      <c r="E284" s="135">
        <f t="shared" si="4"/>
        <v>36794</v>
      </c>
    </row>
    <row r="285" spans="1:5" ht="16.5">
      <c r="A285" s="230" t="s">
        <v>177</v>
      </c>
      <c r="B285" s="231" t="s">
        <v>833</v>
      </c>
      <c r="C285" s="234">
        <v>422641</v>
      </c>
      <c r="D285" s="235">
        <v>14839</v>
      </c>
      <c r="E285" s="135">
        <f t="shared" si="4"/>
        <v>437480</v>
      </c>
    </row>
    <row r="286" spans="1:5" ht="16.5">
      <c r="A286" s="230" t="s">
        <v>179</v>
      </c>
      <c r="B286" s="231" t="s">
        <v>834</v>
      </c>
      <c r="C286" s="234">
        <v>3458736</v>
      </c>
      <c r="D286" s="235">
        <v>116263</v>
      </c>
      <c r="E286" s="135">
        <f t="shared" si="4"/>
        <v>3574999</v>
      </c>
    </row>
    <row r="287" spans="1:5" ht="16.5">
      <c r="A287" s="230" t="s">
        <v>181</v>
      </c>
      <c r="B287" s="231" t="s">
        <v>835</v>
      </c>
      <c r="C287" s="234">
        <v>1060245</v>
      </c>
      <c r="D287" s="235">
        <v>26851</v>
      </c>
      <c r="E287" s="135">
        <f t="shared" si="4"/>
        <v>1087096</v>
      </c>
    </row>
    <row r="288" spans="1:5" ht="17.25" thickBot="1">
      <c r="A288" s="232" t="s">
        <v>407</v>
      </c>
      <c r="B288" s="233" t="s">
        <v>836</v>
      </c>
      <c r="C288" s="236">
        <v>245390</v>
      </c>
      <c r="D288" s="237">
        <v>6825</v>
      </c>
      <c r="E288" s="135">
        <f t="shared" si="4"/>
        <v>252215</v>
      </c>
    </row>
    <row r="289" spans="1:5" ht="17.25" thickTop="1">
      <c r="A289" s="131"/>
      <c r="B289" s="132"/>
      <c r="C289" s="134"/>
      <c r="D289" s="135"/>
      <c r="E289" s="135"/>
    </row>
    <row r="290" spans="1:5" ht="16.5">
      <c r="A290" s="131"/>
      <c r="B290" s="132"/>
      <c r="C290" s="134"/>
      <c r="D290" s="135"/>
      <c r="E290" s="135"/>
    </row>
    <row r="291" spans="1:5" ht="16.5">
      <c r="A291" s="131"/>
      <c r="B291" s="132"/>
      <c r="C291" s="134"/>
      <c r="D291" s="135"/>
      <c r="E291" s="135"/>
    </row>
    <row r="292" spans="1:5" ht="16.5">
      <c r="A292" s="131"/>
      <c r="B292" s="132"/>
      <c r="C292" s="134"/>
      <c r="D292" s="135"/>
      <c r="E292" s="135"/>
    </row>
    <row r="293" spans="1:5" ht="16.5">
      <c r="A293" s="131"/>
      <c r="B293" s="131"/>
      <c r="C293" s="135"/>
      <c r="D293" s="135"/>
      <c r="E293" s="135"/>
    </row>
    <row r="294" spans="1:5" ht="16.5">
      <c r="A294" s="131"/>
      <c r="B294" s="132"/>
      <c r="C294" s="134"/>
      <c r="D294" s="135"/>
      <c r="E294" s="135"/>
    </row>
    <row r="295" spans="1:5" ht="16.5">
      <c r="A295" s="131"/>
      <c r="B295" s="132"/>
      <c r="C295" s="134"/>
      <c r="D295" s="135"/>
      <c r="E295" s="135"/>
    </row>
    <row r="296" spans="1:5" ht="16.5">
      <c r="A296" s="131"/>
      <c r="B296" s="132"/>
      <c r="C296" s="134"/>
      <c r="D296" s="135"/>
      <c r="E296" s="135"/>
    </row>
    <row r="297" spans="1:5" ht="16.5">
      <c r="A297" s="131"/>
      <c r="B297" s="132"/>
      <c r="C297" s="134"/>
      <c r="D297" s="135"/>
      <c r="E297" s="135"/>
    </row>
    <row r="298" spans="1:5" ht="16.5">
      <c r="A298" s="131"/>
      <c r="B298" s="132"/>
      <c r="C298" s="134"/>
      <c r="D298" s="135"/>
      <c r="E298" s="135"/>
    </row>
    <row r="299" spans="1:5" ht="16.5">
      <c r="A299" s="131"/>
      <c r="B299" s="132"/>
      <c r="C299" s="134"/>
      <c r="D299" s="135"/>
      <c r="E299" s="135"/>
    </row>
    <row r="300" spans="1:5" ht="16.5">
      <c r="A300" s="131"/>
      <c r="B300" s="131"/>
      <c r="C300" s="135"/>
      <c r="D300" s="135"/>
      <c r="E300" s="135"/>
    </row>
    <row r="301" spans="1:5" ht="16.5">
      <c r="A301" s="131"/>
      <c r="B301" s="132"/>
      <c r="C301" s="134"/>
      <c r="D301" s="135"/>
      <c r="E301" s="135"/>
    </row>
    <row r="302" spans="1:5" ht="16.5">
      <c r="A302" s="131"/>
      <c r="B302" s="132"/>
      <c r="C302" s="134"/>
      <c r="D302" s="135"/>
      <c r="E302" s="135"/>
    </row>
    <row r="303" spans="1:5" ht="16.5">
      <c r="A303" s="131"/>
      <c r="B303" s="132"/>
      <c r="C303" s="134"/>
      <c r="D303" s="135"/>
      <c r="E303" s="135"/>
    </row>
    <row r="304" spans="1:5" ht="16.5">
      <c r="A304" s="131"/>
      <c r="B304" s="132"/>
      <c r="C304" s="134"/>
      <c r="D304" s="135"/>
      <c r="E304" s="135"/>
    </row>
    <row r="305" spans="1:5" ht="16.5">
      <c r="A305" s="131"/>
      <c r="B305" s="132"/>
      <c r="C305" s="134"/>
      <c r="D305" s="135"/>
      <c r="E305" s="135"/>
    </row>
    <row r="306" spans="1:5" ht="16.5">
      <c r="A306" s="131"/>
      <c r="B306" s="132"/>
      <c r="C306" s="134"/>
      <c r="D306" s="135"/>
      <c r="E306" s="135"/>
    </row>
    <row r="307" spans="1:5" ht="16.5">
      <c r="A307" s="131"/>
      <c r="B307" s="131"/>
      <c r="C307" s="135"/>
      <c r="D307" s="135"/>
      <c r="E307" s="135"/>
    </row>
    <row r="308" spans="1:5" ht="16.5">
      <c r="A308" s="131"/>
      <c r="B308" s="132"/>
      <c r="C308" s="134"/>
      <c r="D308" s="135"/>
      <c r="E308" s="135"/>
    </row>
    <row r="309" spans="1:5" ht="16.5">
      <c r="A309" s="131"/>
      <c r="B309" s="132"/>
      <c r="C309" s="134"/>
      <c r="D309" s="135"/>
      <c r="E309" s="135"/>
    </row>
    <row r="310" spans="1:5" ht="16.5">
      <c r="A310" s="131"/>
      <c r="B310" s="132"/>
      <c r="C310" s="134"/>
      <c r="D310" s="135"/>
      <c r="E310" s="135"/>
    </row>
    <row r="311" spans="1:5" ht="16.5">
      <c r="A311" s="131"/>
      <c r="B311" s="132"/>
      <c r="C311" s="134"/>
      <c r="D311" s="137"/>
      <c r="E311" s="137"/>
    </row>
  </sheetData>
  <mergeCells count="1">
    <mergeCell ref="A1:E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6A14-1AAC-41D5-9C0B-2CC68C8C17C5}">
  <sheetPr>
    <tabColor rgb="FF92D050"/>
  </sheetPr>
  <dimension ref="A1:E287"/>
  <sheetViews>
    <sheetView topLeftCell="A3" workbookViewId="0">
      <selection activeCell="D326" sqref="D326"/>
    </sheetView>
  </sheetViews>
  <sheetFormatPr defaultRowHeight="12.75"/>
  <cols>
    <col min="1" max="1" width="8.7109375" customWidth="1"/>
    <col min="2" max="2" width="33.5703125" customWidth="1"/>
    <col min="3" max="4" width="14.85546875" bestFit="1" customWidth="1"/>
  </cols>
  <sheetData>
    <row r="1" spans="1:5">
      <c r="A1" t="s">
        <v>1359</v>
      </c>
    </row>
    <row r="2" spans="1:5">
      <c r="A2" t="s">
        <v>1812</v>
      </c>
    </row>
    <row r="3" spans="1:5" ht="13.5" thickBot="1"/>
    <row r="4" spans="1:5" ht="16.5">
      <c r="A4" s="238" t="s">
        <v>867</v>
      </c>
      <c r="B4" s="239" t="s">
        <v>1807</v>
      </c>
      <c r="C4" s="240" t="s">
        <v>977</v>
      </c>
      <c r="D4" s="241" t="s">
        <v>978</v>
      </c>
    </row>
    <row r="5" spans="1:5" ht="16.5">
      <c r="A5" s="242" t="s">
        <v>51</v>
      </c>
      <c r="B5" s="243" t="s">
        <v>1813</v>
      </c>
      <c r="C5" s="244">
        <v>0</v>
      </c>
      <c r="D5" s="245">
        <v>0</v>
      </c>
      <c r="E5" s="181">
        <f>C5+D5</f>
        <v>0</v>
      </c>
    </row>
    <row r="6" spans="1:5" ht="16.5">
      <c r="A6" s="242" t="s">
        <v>53</v>
      </c>
      <c r="B6" s="243" t="s">
        <v>1814</v>
      </c>
      <c r="C6" s="244">
        <v>0</v>
      </c>
      <c r="D6" s="245">
        <v>0</v>
      </c>
      <c r="E6" s="181">
        <f t="shared" ref="E6:E69" si="0">C6+D6</f>
        <v>0</v>
      </c>
    </row>
    <row r="7" spans="1:5" ht="16.5">
      <c r="A7" s="246" t="s">
        <v>55</v>
      </c>
      <c r="B7" s="243" t="s">
        <v>1815</v>
      </c>
      <c r="C7" s="244">
        <v>0</v>
      </c>
      <c r="D7" s="245">
        <v>0</v>
      </c>
      <c r="E7" s="181">
        <f t="shared" si="0"/>
        <v>0</v>
      </c>
    </row>
    <row r="8" spans="1:5" ht="16.5">
      <c r="A8" s="242" t="s">
        <v>182</v>
      </c>
      <c r="B8" s="243" t="s">
        <v>1816</v>
      </c>
      <c r="C8" s="244">
        <v>0</v>
      </c>
      <c r="D8" s="245">
        <v>0</v>
      </c>
      <c r="E8" s="181">
        <f t="shared" si="0"/>
        <v>0</v>
      </c>
    </row>
    <row r="9" spans="1:5" ht="16.5">
      <c r="A9" s="242" t="s">
        <v>471</v>
      </c>
      <c r="B9" s="243" t="s">
        <v>1817</v>
      </c>
      <c r="C9" s="244">
        <v>107400</v>
      </c>
      <c r="D9" s="245">
        <v>205</v>
      </c>
      <c r="E9" s="181">
        <f t="shared" si="0"/>
        <v>107605</v>
      </c>
    </row>
    <row r="10" spans="1:5" ht="16.5">
      <c r="A10" s="242" t="s">
        <v>473</v>
      </c>
      <c r="B10" s="243" t="s">
        <v>1818</v>
      </c>
      <c r="C10" s="244">
        <v>0</v>
      </c>
      <c r="D10" s="245">
        <v>0</v>
      </c>
      <c r="E10" s="181">
        <f t="shared" si="0"/>
        <v>0</v>
      </c>
    </row>
    <row r="11" spans="1:5" ht="16.5">
      <c r="A11" s="242" t="s">
        <v>474</v>
      </c>
      <c r="B11" s="243" t="s">
        <v>1819</v>
      </c>
      <c r="C11" s="244">
        <v>369183</v>
      </c>
      <c r="D11" s="245">
        <v>0</v>
      </c>
      <c r="E11" s="181">
        <f t="shared" si="0"/>
        <v>369183</v>
      </c>
    </row>
    <row r="12" spans="1:5" ht="16.5">
      <c r="A12" s="242" t="s">
        <v>476</v>
      </c>
      <c r="B12" s="243" t="s">
        <v>1820</v>
      </c>
      <c r="C12" s="244">
        <v>0</v>
      </c>
      <c r="D12" s="245">
        <v>0</v>
      </c>
      <c r="E12" s="181">
        <f t="shared" si="0"/>
        <v>0</v>
      </c>
    </row>
    <row r="13" spans="1:5" ht="16.5">
      <c r="A13" s="242" t="s">
        <v>477</v>
      </c>
      <c r="B13" s="243" t="s">
        <v>1821</v>
      </c>
      <c r="C13" s="244">
        <v>36734</v>
      </c>
      <c r="D13" s="245">
        <v>12109</v>
      </c>
      <c r="E13" s="181">
        <f t="shared" si="0"/>
        <v>48843</v>
      </c>
    </row>
    <row r="14" spans="1:5" ht="16.5">
      <c r="A14" s="242" t="s">
        <v>195</v>
      </c>
      <c r="B14" s="243" t="s">
        <v>1822</v>
      </c>
      <c r="C14" s="244">
        <v>240492</v>
      </c>
      <c r="D14" s="245">
        <v>0</v>
      </c>
      <c r="E14" s="181">
        <f t="shared" si="0"/>
        <v>240492</v>
      </c>
    </row>
    <row r="15" spans="1:5" ht="16.5">
      <c r="A15" s="242" t="s">
        <v>197</v>
      </c>
      <c r="B15" s="243" t="s">
        <v>1823</v>
      </c>
      <c r="C15" s="244">
        <v>0</v>
      </c>
      <c r="D15" s="245">
        <v>0</v>
      </c>
      <c r="E15" s="181">
        <f t="shared" si="0"/>
        <v>0</v>
      </c>
    </row>
    <row r="16" spans="1:5" ht="16.5">
      <c r="A16" s="242" t="s">
        <v>199</v>
      </c>
      <c r="B16" s="243" t="s">
        <v>1824</v>
      </c>
      <c r="C16" s="244">
        <v>3434</v>
      </c>
      <c r="D16" s="245">
        <v>0</v>
      </c>
      <c r="E16" s="181">
        <f t="shared" si="0"/>
        <v>3434</v>
      </c>
    </row>
    <row r="17" spans="1:5" ht="16.5">
      <c r="A17" s="242" t="s">
        <v>201</v>
      </c>
      <c r="B17" s="243" t="s">
        <v>1825</v>
      </c>
      <c r="C17" s="244">
        <v>0</v>
      </c>
      <c r="D17" s="245">
        <v>12239</v>
      </c>
      <c r="E17" s="181">
        <f t="shared" si="0"/>
        <v>12239</v>
      </c>
    </row>
    <row r="18" spans="1:5" ht="16.5">
      <c r="A18" s="242" t="s">
        <v>14</v>
      </c>
      <c r="B18" s="243" t="s">
        <v>1826</v>
      </c>
      <c r="C18" s="244">
        <v>0</v>
      </c>
      <c r="D18" s="245">
        <v>0</v>
      </c>
      <c r="E18" s="181">
        <f t="shared" si="0"/>
        <v>0</v>
      </c>
    </row>
    <row r="19" spans="1:5" ht="16.5">
      <c r="A19" s="242" t="s">
        <v>16</v>
      </c>
      <c r="B19" s="243" t="s">
        <v>1827</v>
      </c>
      <c r="C19" s="244">
        <v>23870</v>
      </c>
      <c r="D19" s="245">
        <v>0</v>
      </c>
      <c r="E19" s="181">
        <f t="shared" si="0"/>
        <v>23870</v>
      </c>
    </row>
    <row r="20" spans="1:5" ht="16.5">
      <c r="A20" s="242" t="s">
        <v>524</v>
      </c>
      <c r="B20" s="243" t="s">
        <v>1828</v>
      </c>
      <c r="C20" s="244">
        <v>177209</v>
      </c>
      <c r="D20" s="245">
        <v>11288</v>
      </c>
      <c r="E20" s="181">
        <f t="shared" si="0"/>
        <v>188497</v>
      </c>
    </row>
    <row r="21" spans="1:5" ht="16.5">
      <c r="A21" s="242" t="s">
        <v>526</v>
      </c>
      <c r="B21" s="243" t="s">
        <v>1506</v>
      </c>
      <c r="C21" s="244">
        <v>9247</v>
      </c>
      <c r="D21" s="245">
        <v>84</v>
      </c>
      <c r="E21" s="181">
        <f t="shared" si="0"/>
        <v>9331</v>
      </c>
    </row>
    <row r="22" spans="1:5" ht="16.5">
      <c r="A22" s="242" t="s">
        <v>528</v>
      </c>
      <c r="B22" s="243" t="s">
        <v>1829</v>
      </c>
      <c r="C22" s="244">
        <v>0</v>
      </c>
      <c r="D22" s="245">
        <v>0</v>
      </c>
      <c r="E22" s="181">
        <f t="shared" si="0"/>
        <v>0</v>
      </c>
    </row>
    <row r="23" spans="1:5" ht="16.5">
      <c r="A23" s="242" t="s">
        <v>530</v>
      </c>
      <c r="B23" s="243" t="s">
        <v>1830</v>
      </c>
      <c r="C23" s="244">
        <v>0</v>
      </c>
      <c r="D23" s="245">
        <v>0</v>
      </c>
      <c r="E23" s="181">
        <f t="shared" si="0"/>
        <v>0</v>
      </c>
    </row>
    <row r="24" spans="1:5" ht="16.5">
      <c r="A24" s="242" t="s">
        <v>532</v>
      </c>
      <c r="B24" s="243" t="s">
        <v>1831</v>
      </c>
      <c r="C24" s="244">
        <v>13666</v>
      </c>
      <c r="D24" s="245">
        <v>347</v>
      </c>
      <c r="E24" s="181">
        <f t="shared" si="0"/>
        <v>14013</v>
      </c>
    </row>
    <row r="25" spans="1:5" ht="16.5">
      <c r="A25" s="242" t="s">
        <v>534</v>
      </c>
      <c r="B25" s="243" t="s">
        <v>1832</v>
      </c>
      <c r="C25" s="244">
        <v>1201</v>
      </c>
      <c r="D25" s="245">
        <v>0</v>
      </c>
      <c r="E25" s="181">
        <f t="shared" si="0"/>
        <v>1201</v>
      </c>
    </row>
    <row r="26" spans="1:5" ht="16.5">
      <c r="A26" s="242" t="s">
        <v>536</v>
      </c>
      <c r="B26" s="243" t="s">
        <v>1833</v>
      </c>
      <c r="C26" s="244">
        <v>0</v>
      </c>
      <c r="D26" s="245">
        <v>0</v>
      </c>
      <c r="E26" s="181">
        <f t="shared" si="0"/>
        <v>0</v>
      </c>
    </row>
    <row r="27" spans="1:5" ht="16.5">
      <c r="A27" s="242" t="s">
        <v>538</v>
      </c>
      <c r="B27" s="243" t="s">
        <v>1834</v>
      </c>
      <c r="C27" s="244">
        <v>0</v>
      </c>
      <c r="D27" s="245">
        <v>0</v>
      </c>
      <c r="E27" s="181">
        <f t="shared" si="0"/>
        <v>0</v>
      </c>
    </row>
    <row r="28" spans="1:5" ht="16.5">
      <c r="A28" s="242" t="s">
        <v>151</v>
      </c>
      <c r="B28" s="243" t="s">
        <v>1835</v>
      </c>
      <c r="C28" s="244">
        <v>2404</v>
      </c>
      <c r="D28" s="245">
        <v>0</v>
      </c>
      <c r="E28" s="181">
        <f t="shared" si="0"/>
        <v>2404</v>
      </c>
    </row>
    <row r="29" spans="1:5" ht="16.5">
      <c r="A29" s="242" t="s">
        <v>153</v>
      </c>
      <c r="B29" s="243" t="s">
        <v>1836</v>
      </c>
      <c r="C29" s="244">
        <v>0</v>
      </c>
      <c r="D29" s="245">
        <v>0</v>
      </c>
      <c r="E29" s="181">
        <f t="shared" si="0"/>
        <v>0</v>
      </c>
    </row>
    <row r="30" spans="1:5" ht="16.5">
      <c r="A30" s="242" t="s">
        <v>155</v>
      </c>
      <c r="B30" s="243" t="s">
        <v>1837</v>
      </c>
      <c r="C30" s="244">
        <v>0</v>
      </c>
      <c r="D30" s="245">
        <v>0</v>
      </c>
      <c r="E30" s="181">
        <f t="shared" si="0"/>
        <v>0</v>
      </c>
    </row>
    <row r="31" spans="1:5" ht="16.5">
      <c r="A31" s="242" t="s">
        <v>1050</v>
      </c>
      <c r="B31" s="243" t="s">
        <v>1047</v>
      </c>
      <c r="C31" s="244">
        <v>0</v>
      </c>
      <c r="D31" s="245">
        <v>0</v>
      </c>
      <c r="E31" s="181">
        <f t="shared" si="0"/>
        <v>0</v>
      </c>
    </row>
    <row r="32" spans="1:5" ht="16.5">
      <c r="A32" s="242" t="s">
        <v>281</v>
      </c>
      <c r="B32" s="243" t="s">
        <v>1838</v>
      </c>
      <c r="C32" s="244">
        <v>0</v>
      </c>
      <c r="D32" s="245">
        <v>0</v>
      </c>
      <c r="E32" s="181">
        <f t="shared" si="0"/>
        <v>0</v>
      </c>
    </row>
    <row r="33" spans="1:5" ht="16.5">
      <c r="A33" s="242" t="s">
        <v>283</v>
      </c>
      <c r="B33" s="243" t="s">
        <v>1839</v>
      </c>
      <c r="C33" s="244">
        <v>0</v>
      </c>
      <c r="D33" s="245">
        <v>0</v>
      </c>
      <c r="E33" s="181">
        <f t="shared" si="0"/>
        <v>0</v>
      </c>
    </row>
    <row r="34" spans="1:5" ht="16.5">
      <c r="A34" s="242" t="s">
        <v>285</v>
      </c>
      <c r="B34" s="243" t="s">
        <v>1840</v>
      </c>
      <c r="C34" s="244">
        <v>0</v>
      </c>
      <c r="D34" s="245">
        <v>24</v>
      </c>
      <c r="E34" s="181">
        <f t="shared" si="0"/>
        <v>24</v>
      </c>
    </row>
    <row r="35" spans="1:5" ht="16.5">
      <c r="A35" s="242" t="s">
        <v>287</v>
      </c>
      <c r="B35" s="243" t="s">
        <v>1841</v>
      </c>
      <c r="C35" s="244">
        <v>0</v>
      </c>
      <c r="D35" s="245">
        <v>0</v>
      </c>
      <c r="E35" s="181">
        <f t="shared" si="0"/>
        <v>0</v>
      </c>
    </row>
    <row r="36" spans="1:5" ht="16.5">
      <c r="A36" s="242" t="s">
        <v>289</v>
      </c>
      <c r="B36" s="243" t="s">
        <v>1842</v>
      </c>
      <c r="C36" s="244">
        <v>0</v>
      </c>
      <c r="D36" s="245">
        <v>0</v>
      </c>
      <c r="E36" s="181">
        <f t="shared" si="0"/>
        <v>0</v>
      </c>
    </row>
    <row r="37" spans="1:5" ht="16.5">
      <c r="A37" s="242" t="s">
        <v>291</v>
      </c>
      <c r="B37" s="243" t="s">
        <v>1843</v>
      </c>
      <c r="C37" s="244">
        <v>0</v>
      </c>
      <c r="D37" s="245">
        <v>0</v>
      </c>
      <c r="E37" s="181">
        <f t="shared" si="0"/>
        <v>0</v>
      </c>
    </row>
    <row r="38" spans="1:5" ht="16.5">
      <c r="A38" s="242" t="s">
        <v>19</v>
      </c>
      <c r="B38" s="243" t="s">
        <v>1844</v>
      </c>
      <c r="C38" s="244">
        <v>0</v>
      </c>
      <c r="D38" s="245">
        <v>0</v>
      </c>
      <c r="E38" s="181">
        <f t="shared" si="0"/>
        <v>0</v>
      </c>
    </row>
    <row r="39" spans="1:5" ht="16.5">
      <c r="A39" s="242" t="s">
        <v>21</v>
      </c>
      <c r="B39" s="243" t="s">
        <v>1845</v>
      </c>
      <c r="C39" s="244">
        <v>51427</v>
      </c>
      <c r="D39" s="245">
        <v>1327</v>
      </c>
      <c r="E39" s="181">
        <f t="shared" si="0"/>
        <v>52754</v>
      </c>
    </row>
    <row r="40" spans="1:5" ht="16.5">
      <c r="A40" s="242" t="s">
        <v>23</v>
      </c>
      <c r="B40" s="243" t="s">
        <v>1846</v>
      </c>
      <c r="C40" s="244">
        <v>5362</v>
      </c>
      <c r="D40" s="245">
        <v>0</v>
      </c>
      <c r="E40" s="181">
        <f t="shared" si="0"/>
        <v>5362</v>
      </c>
    </row>
    <row r="41" spans="1:5" ht="16.5">
      <c r="A41" s="242" t="s">
        <v>25</v>
      </c>
      <c r="B41" s="243" t="s">
        <v>1508</v>
      </c>
      <c r="C41" s="244">
        <v>1468</v>
      </c>
      <c r="D41" s="245">
        <v>0</v>
      </c>
      <c r="E41" s="181">
        <f t="shared" si="0"/>
        <v>1468</v>
      </c>
    </row>
    <row r="42" spans="1:5" ht="16.5">
      <c r="A42" s="242" t="s">
        <v>27</v>
      </c>
      <c r="B42" s="243" t="s">
        <v>1847</v>
      </c>
      <c r="C42" s="244">
        <v>0</v>
      </c>
      <c r="D42" s="245">
        <v>0</v>
      </c>
      <c r="E42" s="181">
        <f t="shared" si="0"/>
        <v>0</v>
      </c>
    </row>
    <row r="43" spans="1:5" ht="16.5">
      <c r="A43" s="242" t="s">
        <v>29</v>
      </c>
      <c r="B43" s="243" t="s">
        <v>1848</v>
      </c>
      <c r="C43" s="244">
        <v>0</v>
      </c>
      <c r="D43" s="245">
        <v>0</v>
      </c>
      <c r="E43" s="181">
        <f t="shared" si="0"/>
        <v>0</v>
      </c>
    </row>
    <row r="44" spans="1:5" ht="16.5">
      <c r="A44" s="242" t="s">
        <v>148</v>
      </c>
      <c r="B44" s="243" t="s">
        <v>1849</v>
      </c>
      <c r="C44" s="244">
        <v>0</v>
      </c>
      <c r="D44" s="245">
        <v>0</v>
      </c>
      <c r="E44" s="181">
        <f t="shared" si="0"/>
        <v>0</v>
      </c>
    </row>
    <row r="45" spans="1:5" ht="16.5">
      <c r="A45" s="242" t="s">
        <v>150</v>
      </c>
      <c r="B45" s="243" t="s">
        <v>1850</v>
      </c>
      <c r="C45" s="244">
        <v>0</v>
      </c>
      <c r="D45" s="245">
        <v>0</v>
      </c>
      <c r="E45" s="181">
        <f t="shared" si="0"/>
        <v>0</v>
      </c>
    </row>
    <row r="46" spans="1:5" ht="16.5">
      <c r="A46" s="242" t="s">
        <v>133</v>
      </c>
      <c r="B46" s="243" t="s">
        <v>1851</v>
      </c>
      <c r="C46" s="244">
        <v>126807</v>
      </c>
      <c r="D46" s="245">
        <v>1891</v>
      </c>
      <c r="E46" s="181">
        <f t="shared" si="0"/>
        <v>128698</v>
      </c>
    </row>
    <row r="47" spans="1:5" ht="16.5">
      <c r="A47" s="242" t="s">
        <v>134</v>
      </c>
      <c r="B47" s="243" t="s">
        <v>1852</v>
      </c>
      <c r="C47" s="244">
        <v>0</v>
      </c>
      <c r="D47" s="245">
        <v>0</v>
      </c>
      <c r="E47" s="181">
        <f t="shared" si="0"/>
        <v>0</v>
      </c>
    </row>
    <row r="48" spans="1:5" ht="16.5">
      <c r="A48" s="242" t="s">
        <v>136</v>
      </c>
      <c r="B48" s="243" t="s">
        <v>1853</v>
      </c>
      <c r="C48" s="244">
        <v>0</v>
      </c>
      <c r="D48" s="245">
        <v>0</v>
      </c>
      <c r="E48" s="181">
        <f t="shared" si="0"/>
        <v>0</v>
      </c>
    </row>
    <row r="49" spans="1:5" ht="16.5">
      <c r="A49" s="242" t="s">
        <v>138</v>
      </c>
      <c r="B49" s="243" t="s">
        <v>1854</v>
      </c>
      <c r="C49" s="244">
        <v>0</v>
      </c>
      <c r="D49" s="245">
        <v>0</v>
      </c>
      <c r="E49" s="181">
        <f t="shared" si="0"/>
        <v>0</v>
      </c>
    </row>
    <row r="50" spans="1:5" ht="16.5">
      <c r="A50" s="242" t="s">
        <v>140</v>
      </c>
      <c r="B50" s="243" t="s">
        <v>1855</v>
      </c>
      <c r="C50" s="244">
        <v>0</v>
      </c>
      <c r="D50" s="245">
        <v>3019</v>
      </c>
      <c r="E50" s="181">
        <f t="shared" si="0"/>
        <v>3019</v>
      </c>
    </row>
    <row r="51" spans="1:5" ht="16.5">
      <c r="A51" s="242" t="s">
        <v>142</v>
      </c>
      <c r="B51" s="243" t="s">
        <v>1856</v>
      </c>
      <c r="C51" s="244">
        <v>0</v>
      </c>
      <c r="D51" s="245">
        <v>0</v>
      </c>
      <c r="E51" s="181">
        <f t="shared" si="0"/>
        <v>0</v>
      </c>
    </row>
    <row r="52" spans="1:5" ht="16.5">
      <c r="A52" s="242" t="s">
        <v>143</v>
      </c>
      <c r="B52" s="243" t="s">
        <v>1857</v>
      </c>
      <c r="C52" s="244">
        <v>0</v>
      </c>
      <c r="D52" s="245">
        <v>0</v>
      </c>
      <c r="E52" s="181">
        <f t="shared" si="0"/>
        <v>0</v>
      </c>
    </row>
    <row r="53" spans="1:5" ht="16.5">
      <c r="A53" s="242" t="s">
        <v>12</v>
      </c>
      <c r="B53" s="243" t="s">
        <v>1858</v>
      </c>
      <c r="C53" s="244">
        <v>0</v>
      </c>
      <c r="D53" s="245">
        <v>1114</v>
      </c>
      <c r="E53" s="181">
        <f t="shared" si="0"/>
        <v>1114</v>
      </c>
    </row>
    <row r="54" spans="1:5" ht="16.5">
      <c r="A54" s="242" t="s">
        <v>145</v>
      </c>
      <c r="B54" s="243" t="s">
        <v>1859</v>
      </c>
      <c r="C54" s="244">
        <v>0</v>
      </c>
      <c r="D54" s="245">
        <v>96</v>
      </c>
      <c r="E54" s="181">
        <f t="shared" si="0"/>
        <v>96</v>
      </c>
    </row>
    <row r="55" spans="1:5" ht="16.5">
      <c r="A55" s="242" t="s">
        <v>402</v>
      </c>
      <c r="B55" s="243" t="s">
        <v>1860</v>
      </c>
      <c r="C55" s="244">
        <v>0</v>
      </c>
      <c r="D55" s="245">
        <v>0</v>
      </c>
      <c r="E55" s="181">
        <f t="shared" si="0"/>
        <v>0</v>
      </c>
    </row>
    <row r="56" spans="1:5" ht="16.5">
      <c r="A56" s="242" t="s">
        <v>404</v>
      </c>
      <c r="B56" s="243" t="s">
        <v>1861</v>
      </c>
      <c r="C56" s="244">
        <v>0</v>
      </c>
      <c r="D56" s="245">
        <v>0</v>
      </c>
      <c r="E56" s="181">
        <f t="shared" si="0"/>
        <v>0</v>
      </c>
    </row>
    <row r="57" spans="1:5" ht="16.5">
      <c r="A57" s="242" t="s">
        <v>406</v>
      </c>
      <c r="B57" s="243" t="s">
        <v>1862</v>
      </c>
      <c r="C57" s="244">
        <v>5136</v>
      </c>
      <c r="D57" s="245">
        <v>505</v>
      </c>
      <c r="E57" s="181">
        <f t="shared" si="0"/>
        <v>5641</v>
      </c>
    </row>
    <row r="58" spans="1:5" ht="16.5">
      <c r="A58" s="242" t="s">
        <v>224</v>
      </c>
      <c r="B58" s="243" t="s">
        <v>1863</v>
      </c>
      <c r="C58" s="244">
        <v>18940</v>
      </c>
      <c r="D58" s="245">
        <v>3610</v>
      </c>
      <c r="E58" s="181">
        <f t="shared" si="0"/>
        <v>22550</v>
      </c>
    </row>
    <row r="59" spans="1:5" ht="16.5">
      <c r="A59" s="242" t="s">
        <v>226</v>
      </c>
      <c r="B59" s="243" t="s">
        <v>1864</v>
      </c>
      <c r="C59" s="244">
        <v>0</v>
      </c>
      <c r="D59" s="245">
        <v>0</v>
      </c>
      <c r="E59" s="181">
        <f t="shared" si="0"/>
        <v>0</v>
      </c>
    </row>
    <row r="60" spans="1:5" ht="16.5">
      <c r="A60" s="242" t="s">
        <v>355</v>
      </c>
      <c r="B60" s="243" t="s">
        <v>1865</v>
      </c>
      <c r="C60" s="244">
        <v>25168</v>
      </c>
      <c r="D60" s="245">
        <v>1109</v>
      </c>
      <c r="E60" s="181">
        <f t="shared" si="0"/>
        <v>26277</v>
      </c>
    </row>
    <row r="61" spans="1:5" ht="16.5">
      <c r="A61" s="242" t="s">
        <v>357</v>
      </c>
      <c r="B61" s="243" t="s">
        <v>1866</v>
      </c>
      <c r="C61" s="244">
        <v>0</v>
      </c>
      <c r="D61" s="245">
        <v>1316</v>
      </c>
      <c r="E61" s="181">
        <f t="shared" si="0"/>
        <v>1316</v>
      </c>
    </row>
    <row r="62" spans="1:5" ht="16.5">
      <c r="A62" s="242" t="s">
        <v>230</v>
      </c>
      <c r="B62" s="243" t="s">
        <v>1867</v>
      </c>
      <c r="C62" s="244">
        <v>5527</v>
      </c>
      <c r="D62" s="245">
        <v>0</v>
      </c>
      <c r="E62" s="181">
        <f t="shared" si="0"/>
        <v>5527</v>
      </c>
    </row>
    <row r="63" spans="1:5" ht="16.5">
      <c r="A63" s="242" t="s">
        <v>231</v>
      </c>
      <c r="B63" s="243" t="s">
        <v>1868</v>
      </c>
      <c r="C63" s="244">
        <v>45782</v>
      </c>
      <c r="D63" s="245">
        <v>0</v>
      </c>
      <c r="E63" s="181">
        <f t="shared" si="0"/>
        <v>45782</v>
      </c>
    </row>
    <row r="64" spans="1:5" ht="16.5">
      <c r="A64" s="242" t="s">
        <v>232</v>
      </c>
      <c r="B64" s="243" t="s">
        <v>1869</v>
      </c>
      <c r="C64" s="244">
        <v>467091</v>
      </c>
      <c r="D64" s="245">
        <v>365</v>
      </c>
      <c r="E64" s="181">
        <f t="shared" si="0"/>
        <v>467456</v>
      </c>
    </row>
    <row r="65" spans="1:5" ht="16.5">
      <c r="A65" s="246" t="s">
        <v>234</v>
      </c>
      <c r="B65" s="243" t="s">
        <v>1870</v>
      </c>
      <c r="C65" s="244">
        <v>0</v>
      </c>
      <c r="D65" s="245">
        <v>0</v>
      </c>
      <c r="E65" s="181">
        <f t="shared" si="0"/>
        <v>0</v>
      </c>
    </row>
    <row r="66" spans="1:5" ht="16.5">
      <c r="A66" s="242" t="s">
        <v>236</v>
      </c>
      <c r="B66" s="243" t="s">
        <v>1871</v>
      </c>
      <c r="C66" s="244">
        <v>129440</v>
      </c>
      <c r="D66" s="245">
        <v>1652</v>
      </c>
      <c r="E66" s="181">
        <f t="shared" si="0"/>
        <v>131092</v>
      </c>
    </row>
    <row r="67" spans="1:5" ht="16.5">
      <c r="A67" s="242" t="s">
        <v>238</v>
      </c>
      <c r="B67" s="243" t="s">
        <v>1872</v>
      </c>
      <c r="C67" s="244">
        <v>0</v>
      </c>
      <c r="D67" s="245">
        <v>0</v>
      </c>
      <c r="E67" s="181">
        <f t="shared" si="0"/>
        <v>0</v>
      </c>
    </row>
    <row r="68" spans="1:5" ht="16.5">
      <c r="A68" s="242" t="s">
        <v>240</v>
      </c>
      <c r="B68" s="243" t="s">
        <v>1873</v>
      </c>
      <c r="C68" s="244">
        <v>0</v>
      </c>
      <c r="D68" s="245">
        <v>4531</v>
      </c>
      <c r="E68" s="181">
        <f t="shared" si="0"/>
        <v>4531</v>
      </c>
    </row>
    <row r="69" spans="1:5" ht="16.5">
      <c r="A69" s="242" t="s">
        <v>409</v>
      </c>
      <c r="B69" s="243" t="s">
        <v>1874</v>
      </c>
      <c r="C69" s="244">
        <v>1167</v>
      </c>
      <c r="D69" s="245">
        <v>2328</v>
      </c>
      <c r="E69" s="181">
        <f t="shared" si="0"/>
        <v>3495</v>
      </c>
    </row>
    <row r="70" spans="1:5" ht="16.5">
      <c r="A70" s="242" t="s">
        <v>411</v>
      </c>
      <c r="B70" s="243" t="s">
        <v>1875</v>
      </c>
      <c r="C70" s="244">
        <v>0</v>
      </c>
      <c r="D70" s="245">
        <v>0</v>
      </c>
      <c r="E70" s="181">
        <f t="shared" ref="E70:E133" si="1">C70+D70</f>
        <v>0</v>
      </c>
    </row>
    <row r="71" spans="1:5" ht="16.5">
      <c r="A71" s="242" t="s">
        <v>413</v>
      </c>
      <c r="B71" s="243" t="s">
        <v>1876</v>
      </c>
      <c r="C71" s="244">
        <v>0</v>
      </c>
      <c r="D71" s="245">
        <v>0</v>
      </c>
      <c r="E71" s="181">
        <f t="shared" si="1"/>
        <v>0</v>
      </c>
    </row>
    <row r="72" spans="1:5" ht="16.5">
      <c r="A72" s="242" t="s">
        <v>415</v>
      </c>
      <c r="B72" s="243" t="s">
        <v>1877</v>
      </c>
      <c r="C72" s="244">
        <v>0</v>
      </c>
      <c r="D72" s="245">
        <v>1599</v>
      </c>
      <c r="E72" s="181">
        <f t="shared" si="1"/>
        <v>1599</v>
      </c>
    </row>
    <row r="73" spans="1:5" ht="16.5">
      <c r="A73" s="242" t="s">
        <v>417</v>
      </c>
      <c r="B73" s="243" t="s">
        <v>1878</v>
      </c>
      <c r="C73" s="244">
        <v>42013</v>
      </c>
      <c r="D73" s="245">
        <v>0</v>
      </c>
      <c r="E73" s="181">
        <f t="shared" si="1"/>
        <v>42013</v>
      </c>
    </row>
    <row r="74" spans="1:5" ht="16.5">
      <c r="A74" s="242" t="s">
        <v>419</v>
      </c>
      <c r="B74" s="243" t="s">
        <v>1879</v>
      </c>
      <c r="C74" s="244">
        <v>0</v>
      </c>
      <c r="D74" s="245">
        <v>512</v>
      </c>
      <c r="E74" s="181">
        <f t="shared" si="1"/>
        <v>512</v>
      </c>
    </row>
    <row r="75" spans="1:5" ht="16.5">
      <c r="A75" s="242" t="s">
        <v>513</v>
      </c>
      <c r="B75" s="243" t="s">
        <v>1880</v>
      </c>
      <c r="C75" s="244">
        <v>27517</v>
      </c>
      <c r="D75" s="245">
        <v>0</v>
      </c>
      <c r="E75" s="181">
        <f t="shared" si="1"/>
        <v>27517</v>
      </c>
    </row>
    <row r="76" spans="1:5" ht="16.5">
      <c r="A76" s="242" t="s">
        <v>515</v>
      </c>
      <c r="B76" s="243" t="s">
        <v>1881</v>
      </c>
      <c r="C76" s="244">
        <v>0</v>
      </c>
      <c r="D76" s="245">
        <v>0</v>
      </c>
      <c r="E76" s="181">
        <f t="shared" si="1"/>
        <v>0</v>
      </c>
    </row>
    <row r="77" spans="1:5" ht="16.5">
      <c r="A77" s="242" t="s">
        <v>516</v>
      </c>
      <c r="B77" s="243" t="s">
        <v>1882</v>
      </c>
      <c r="C77" s="244">
        <v>6714</v>
      </c>
      <c r="D77" s="245">
        <v>534</v>
      </c>
      <c r="E77" s="181">
        <f t="shared" si="1"/>
        <v>7248</v>
      </c>
    </row>
    <row r="78" spans="1:5" ht="16.5">
      <c r="A78" s="242" t="s">
        <v>517</v>
      </c>
      <c r="B78" s="243" t="s">
        <v>1883</v>
      </c>
      <c r="C78" s="244">
        <v>0</v>
      </c>
      <c r="D78" s="245">
        <v>0</v>
      </c>
      <c r="E78" s="181">
        <f t="shared" si="1"/>
        <v>0</v>
      </c>
    </row>
    <row r="79" spans="1:5" ht="16.5">
      <c r="A79" s="242" t="s">
        <v>420</v>
      </c>
      <c r="B79" s="243" t="s">
        <v>1884</v>
      </c>
      <c r="C79" s="244">
        <v>0</v>
      </c>
      <c r="D79" s="245">
        <v>0</v>
      </c>
      <c r="E79" s="181">
        <f t="shared" si="1"/>
        <v>0</v>
      </c>
    </row>
    <row r="80" spans="1:5" ht="16.5">
      <c r="A80" s="242" t="s">
        <v>422</v>
      </c>
      <c r="B80" s="243" t="s">
        <v>1885</v>
      </c>
      <c r="C80" s="244">
        <v>0</v>
      </c>
      <c r="D80" s="245">
        <v>0</v>
      </c>
      <c r="E80" s="181">
        <f t="shared" si="1"/>
        <v>0</v>
      </c>
    </row>
    <row r="81" spans="1:5" ht="16.5">
      <c r="A81" s="242" t="s">
        <v>424</v>
      </c>
      <c r="B81" s="243" t="s">
        <v>1886</v>
      </c>
      <c r="C81" s="244">
        <v>10708</v>
      </c>
      <c r="D81" s="245">
        <v>0</v>
      </c>
      <c r="E81" s="181">
        <f t="shared" si="1"/>
        <v>10708</v>
      </c>
    </row>
    <row r="82" spans="1:5" ht="16.5">
      <c r="A82" s="242" t="s">
        <v>426</v>
      </c>
      <c r="B82" s="243" t="s">
        <v>1887</v>
      </c>
      <c r="C82" s="244">
        <v>249</v>
      </c>
      <c r="D82" s="245">
        <v>21517</v>
      </c>
      <c r="E82" s="181">
        <f t="shared" si="1"/>
        <v>21766</v>
      </c>
    </row>
    <row r="83" spans="1:5" ht="16.5">
      <c r="A83" s="242" t="s">
        <v>428</v>
      </c>
      <c r="B83" s="243" t="s">
        <v>1888</v>
      </c>
      <c r="C83" s="244">
        <v>0</v>
      </c>
      <c r="D83" s="245">
        <v>0</v>
      </c>
      <c r="E83" s="181">
        <f t="shared" si="1"/>
        <v>0</v>
      </c>
    </row>
    <row r="84" spans="1:5" ht="16.5">
      <c r="A84" s="242" t="s">
        <v>430</v>
      </c>
      <c r="B84" s="243" t="s">
        <v>1889</v>
      </c>
      <c r="C84" s="244">
        <v>0</v>
      </c>
      <c r="D84" s="245">
        <v>0</v>
      </c>
      <c r="E84" s="181">
        <f t="shared" si="1"/>
        <v>0</v>
      </c>
    </row>
    <row r="85" spans="1:5" ht="16.5">
      <c r="A85" s="242" t="s">
        <v>436</v>
      </c>
      <c r="B85" s="243" t="s">
        <v>1890</v>
      </c>
      <c r="C85" s="244">
        <v>7026</v>
      </c>
      <c r="D85" s="245">
        <v>0</v>
      </c>
      <c r="E85" s="181">
        <f t="shared" si="1"/>
        <v>7026</v>
      </c>
    </row>
    <row r="86" spans="1:5" ht="16.5">
      <c r="A86" s="242" t="s">
        <v>219</v>
      </c>
      <c r="B86" s="243" t="s">
        <v>1891</v>
      </c>
      <c r="C86" s="244">
        <v>0</v>
      </c>
      <c r="D86" s="245">
        <v>0</v>
      </c>
      <c r="E86" s="181">
        <f t="shared" si="1"/>
        <v>0</v>
      </c>
    </row>
    <row r="87" spans="1:5" ht="16.5">
      <c r="A87" s="242" t="s">
        <v>221</v>
      </c>
      <c r="B87" s="243" t="s">
        <v>1892</v>
      </c>
      <c r="C87" s="244">
        <v>20155</v>
      </c>
      <c r="D87" s="245">
        <v>223</v>
      </c>
      <c r="E87" s="181">
        <f t="shared" si="1"/>
        <v>20378</v>
      </c>
    </row>
    <row r="88" spans="1:5" ht="16.5">
      <c r="A88" s="242" t="s">
        <v>313</v>
      </c>
      <c r="B88" s="243" t="s">
        <v>1893</v>
      </c>
      <c r="C88" s="244">
        <v>4227</v>
      </c>
      <c r="D88" s="245">
        <v>219</v>
      </c>
      <c r="E88" s="181">
        <f t="shared" si="1"/>
        <v>4446</v>
      </c>
    </row>
    <row r="89" spans="1:5" ht="16.5">
      <c r="A89" s="242" t="s">
        <v>439</v>
      </c>
      <c r="B89" s="243" t="s">
        <v>1894</v>
      </c>
      <c r="C89" s="244">
        <v>0</v>
      </c>
      <c r="D89" s="245">
        <v>554</v>
      </c>
      <c r="E89" s="181">
        <f t="shared" si="1"/>
        <v>554</v>
      </c>
    </row>
    <row r="90" spans="1:5" ht="16.5">
      <c r="A90" s="242" t="s">
        <v>441</v>
      </c>
      <c r="B90" s="243" t="s">
        <v>1895</v>
      </c>
      <c r="C90" s="244">
        <v>0</v>
      </c>
      <c r="D90" s="245">
        <v>505</v>
      </c>
      <c r="E90" s="181">
        <f t="shared" si="1"/>
        <v>505</v>
      </c>
    </row>
    <row r="91" spans="1:5" ht="16.5">
      <c r="A91" s="242" t="s">
        <v>445</v>
      </c>
      <c r="B91" s="243" t="s">
        <v>1896</v>
      </c>
      <c r="C91" s="244">
        <v>4688</v>
      </c>
      <c r="D91" s="245">
        <v>13</v>
      </c>
      <c r="E91" s="181">
        <f t="shared" si="1"/>
        <v>4701</v>
      </c>
    </row>
    <row r="92" spans="1:5" ht="16.5">
      <c r="A92" s="242" t="s">
        <v>447</v>
      </c>
      <c r="B92" s="243" t="s">
        <v>1897</v>
      </c>
      <c r="C92" s="244">
        <v>0</v>
      </c>
      <c r="D92" s="245">
        <v>0</v>
      </c>
      <c r="E92" s="181">
        <f t="shared" si="1"/>
        <v>0</v>
      </c>
    </row>
    <row r="93" spans="1:5" ht="16.5">
      <c r="A93" s="242" t="s">
        <v>449</v>
      </c>
      <c r="B93" s="243" t="s">
        <v>1898</v>
      </c>
      <c r="C93" s="244">
        <v>17035</v>
      </c>
      <c r="D93" s="245">
        <v>0</v>
      </c>
      <c r="E93" s="181">
        <f t="shared" si="1"/>
        <v>17035</v>
      </c>
    </row>
    <row r="94" spans="1:5" ht="16.5">
      <c r="A94" s="242" t="s">
        <v>332</v>
      </c>
      <c r="B94" s="243" t="s">
        <v>1899</v>
      </c>
      <c r="C94" s="244">
        <v>0</v>
      </c>
      <c r="D94" s="245">
        <v>1782</v>
      </c>
      <c r="E94" s="181">
        <f t="shared" si="1"/>
        <v>1782</v>
      </c>
    </row>
    <row r="95" spans="1:5" ht="16.5">
      <c r="A95" s="242" t="s">
        <v>334</v>
      </c>
      <c r="B95" s="243" t="s">
        <v>1900</v>
      </c>
      <c r="C95" s="244">
        <v>0</v>
      </c>
      <c r="D95" s="245">
        <v>0</v>
      </c>
      <c r="E95" s="181">
        <f t="shared" si="1"/>
        <v>0</v>
      </c>
    </row>
    <row r="96" spans="1:5" ht="16.5">
      <c r="A96" s="242" t="s">
        <v>336</v>
      </c>
      <c r="B96" s="243" t="s">
        <v>1901</v>
      </c>
      <c r="C96" s="244">
        <v>0</v>
      </c>
      <c r="D96" s="245">
        <v>0</v>
      </c>
      <c r="E96" s="181">
        <f t="shared" si="1"/>
        <v>0</v>
      </c>
    </row>
    <row r="97" spans="1:5" ht="16.5">
      <c r="A97" s="242" t="s">
        <v>338</v>
      </c>
      <c r="B97" s="243" t="s">
        <v>1902</v>
      </c>
      <c r="C97" s="244">
        <v>72181</v>
      </c>
      <c r="D97" s="245">
        <v>0</v>
      </c>
      <c r="E97" s="181">
        <f t="shared" si="1"/>
        <v>72181</v>
      </c>
    </row>
    <row r="98" spans="1:5" ht="33">
      <c r="A98" s="246" t="s">
        <v>1509</v>
      </c>
      <c r="B98" s="243" t="s">
        <v>1903</v>
      </c>
      <c r="C98" s="244">
        <v>0</v>
      </c>
      <c r="D98" s="245">
        <v>0</v>
      </c>
      <c r="E98" s="181">
        <f t="shared" si="1"/>
        <v>0</v>
      </c>
    </row>
    <row r="99" spans="1:5" ht="16.5">
      <c r="A99" s="242" t="s">
        <v>964</v>
      </c>
      <c r="B99" s="243" t="s">
        <v>1159</v>
      </c>
      <c r="C99" s="244">
        <v>0</v>
      </c>
      <c r="D99" s="245">
        <v>0</v>
      </c>
      <c r="E99" s="181">
        <f t="shared" si="1"/>
        <v>0</v>
      </c>
    </row>
    <row r="100" spans="1:5" ht="16.5">
      <c r="A100" s="242" t="s">
        <v>1051</v>
      </c>
      <c r="B100" s="243" t="s">
        <v>1160</v>
      </c>
      <c r="C100" s="244">
        <v>0</v>
      </c>
      <c r="D100" s="245">
        <v>0</v>
      </c>
      <c r="E100" s="181">
        <f t="shared" si="1"/>
        <v>0</v>
      </c>
    </row>
    <row r="101" spans="1:5" ht="16.5">
      <c r="A101" s="242" t="s">
        <v>340</v>
      </c>
      <c r="B101" s="243" t="s">
        <v>1904</v>
      </c>
      <c r="C101" s="244">
        <v>0</v>
      </c>
      <c r="D101" s="245">
        <v>0</v>
      </c>
      <c r="E101" s="181">
        <f t="shared" si="1"/>
        <v>0</v>
      </c>
    </row>
    <row r="102" spans="1:5" ht="16.5">
      <c r="A102" s="242" t="s">
        <v>342</v>
      </c>
      <c r="B102" s="243" t="s">
        <v>1905</v>
      </c>
      <c r="C102" s="244">
        <v>0</v>
      </c>
      <c r="D102" s="245">
        <v>0</v>
      </c>
      <c r="E102" s="181">
        <f t="shared" si="1"/>
        <v>0</v>
      </c>
    </row>
    <row r="103" spans="1:5" ht="16.5">
      <c r="A103" s="242" t="s">
        <v>344</v>
      </c>
      <c r="B103" s="243" t="s">
        <v>1906</v>
      </c>
      <c r="C103" s="244">
        <v>16522</v>
      </c>
      <c r="D103" s="245">
        <v>0</v>
      </c>
      <c r="E103" s="181">
        <f t="shared" si="1"/>
        <v>16522</v>
      </c>
    </row>
    <row r="104" spans="1:5" ht="16.5">
      <c r="A104" s="242" t="s">
        <v>454</v>
      </c>
      <c r="B104" s="243" t="s">
        <v>1907</v>
      </c>
      <c r="C104" s="244">
        <v>0</v>
      </c>
      <c r="D104" s="245">
        <v>0</v>
      </c>
      <c r="E104" s="181">
        <f t="shared" si="1"/>
        <v>0</v>
      </c>
    </row>
    <row r="105" spans="1:5" ht="16.5">
      <c r="A105" s="242" t="s">
        <v>456</v>
      </c>
      <c r="B105" s="243" t="s">
        <v>1908</v>
      </c>
      <c r="C105" s="244">
        <v>0</v>
      </c>
      <c r="D105" s="245">
        <v>0</v>
      </c>
      <c r="E105" s="181">
        <f t="shared" si="1"/>
        <v>0</v>
      </c>
    </row>
    <row r="106" spans="1:5" ht="16.5">
      <c r="A106" s="242" t="s">
        <v>458</v>
      </c>
      <c r="B106" s="243" t="s">
        <v>1909</v>
      </c>
      <c r="C106" s="244">
        <v>51740</v>
      </c>
      <c r="D106" s="245">
        <v>1676</v>
      </c>
      <c r="E106" s="181">
        <f t="shared" si="1"/>
        <v>53416</v>
      </c>
    </row>
    <row r="107" spans="1:5" ht="16.5">
      <c r="A107" s="242" t="s">
        <v>460</v>
      </c>
      <c r="B107" s="243" t="s">
        <v>1910</v>
      </c>
      <c r="C107" s="244">
        <v>0</v>
      </c>
      <c r="D107" s="245">
        <v>116878</v>
      </c>
      <c r="E107" s="181">
        <f t="shared" si="1"/>
        <v>116878</v>
      </c>
    </row>
    <row r="108" spans="1:5" ht="16.5">
      <c r="A108" s="242" t="s">
        <v>479</v>
      </c>
      <c r="B108" s="243" t="s">
        <v>1911</v>
      </c>
      <c r="C108" s="244">
        <v>22673</v>
      </c>
      <c r="D108" s="245">
        <v>0</v>
      </c>
      <c r="E108" s="181">
        <f t="shared" si="1"/>
        <v>22673</v>
      </c>
    </row>
    <row r="109" spans="1:5" ht="16.5">
      <c r="A109" s="242" t="s">
        <v>481</v>
      </c>
      <c r="B109" s="243" t="s">
        <v>1912</v>
      </c>
      <c r="C109" s="244">
        <v>178802</v>
      </c>
      <c r="D109" s="245">
        <v>3757</v>
      </c>
      <c r="E109" s="181">
        <f t="shared" si="1"/>
        <v>182559</v>
      </c>
    </row>
    <row r="110" spans="1:5" ht="16.5">
      <c r="A110" s="242" t="s">
        <v>482</v>
      </c>
      <c r="B110" s="243" t="s">
        <v>1913</v>
      </c>
      <c r="C110" s="244">
        <v>120754</v>
      </c>
      <c r="D110" s="245">
        <v>2711</v>
      </c>
      <c r="E110" s="181">
        <f t="shared" si="1"/>
        <v>123465</v>
      </c>
    </row>
    <row r="111" spans="1:5" ht="16.5">
      <c r="A111" s="242" t="s">
        <v>121</v>
      </c>
      <c r="B111" s="243" t="s">
        <v>1914</v>
      </c>
      <c r="C111" s="244">
        <v>0</v>
      </c>
      <c r="D111" s="245">
        <v>0</v>
      </c>
      <c r="E111" s="181">
        <f t="shared" si="1"/>
        <v>0</v>
      </c>
    </row>
    <row r="112" spans="1:5" ht="16.5">
      <c r="A112" s="242" t="s">
        <v>295</v>
      </c>
      <c r="B112" s="243" t="s">
        <v>1915</v>
      </c>
      <c r="C112" s="244">
        <v>0</v>
      </c>
      <c r="D112" s="245">
        <v>0</v>
      </c>
      <c r="E112" s="181">
        <f t="shared" si="1"/>
        <v>0</v>
      </c>
    </row>
    <row r="113" spans="1:5" ht="16.5">
      <c r="A113" s="242" t="s">
        <v>123</v>
      </c>
      <c r="B113" s="243" t="s">
        <v>1916</v>
      </c>
      <c r="C113" s="244">
        <v>0</v>
      </c>
      <c r="D113" s="245">
        <v>0</v>
      </c>
      <c r="E113" s="181">
        <f t="shared" si="1"/>
        <v>0</v>
      </c>
    </row>
    <row r="114" spans="1:5" ht="16.5">
      <c r="A114" s="242" t="s">
        <v>124</v>
      </c>
      <c r="B114" s="243" t="s">
        <v>1917</v>
      </c>
      <c r="C114" s="244">
        <v>198</v>
      </c>
      <c r="D114" s="245">
        <v>0</v>
      </c>
      <c r="E114" s="181">
        <f t="shared" si="1"/>
        <v>198</v>
      </c>
    </row>
    <row r="115" spans="1:5" ht="16.5">
      <c r="A115" s="242" t="s">
        <v>126</v>
      </c>
      <c r="B115" s="243" t="s">
        <v>1918</v>
      </c>
      <c r="C115" s="244">
        <v>12669</v>
      </c>
      <c r="D115" s="245">
        <v>337</v>
      </c>
      <c r="E115" s="181">
        <f t="shared" si="1"/>
        <v>13006</v>
      </c>
    </row>
    <row r="116" spans="1:5" ht="16.5">
      <c r="A116" s="242" t="s">
        <v>128</v>
      </c>
      <c r="B116" s="243" t="s">
        <v>1919</v>
      </c>
      <c r="C116" s="244">
        <v>104016</v>
      </c>
      <c r="D116" s="245">
        <v>0</v>
      </c>
      <c r="E116" s="181">
        <f t="shared" si="1"/>
        <v>104016</v>
      </c>
    </row>
    <row r="117" spans="1:5" ht="16.5">
      <c r="A117" s="242" t="s">
        <v>130</v>
      </c>
      <c r="B117" s="243" t="s">
        <v>1920</v>
      </c>
      <c r="C117" s="244">
        <v>33712</v>
      </c>
      <c r="D117" s="245">
        <v>0</v>
      </c>
      <c r="E117" s="181">
        <f t="shared" si="1"/>
        <v>33712</v>
      </c>
    </row>
    <row r="118" spans="1:5" ht="16.5">
      <c r="A118" s="242" t="s">
        <v>132</v>
      </c>
      <c r="B118" s="243" t="s">
        <v>1921</v>
      </c>
      <c r="C118" s="244">
        <v>0</v>
      </c>
      <c r="D118" s="245">
        <v>0</v>
      </c>
      <c r="E118" s="181">
        <f t="shared" si="1"/>
        <v>0</v>
      </c>
    </row>
    <row r="119" spans="1:5" ht="16.5">
      <c r="A119" s="242" t="s">
        <v>462</v>
      </c>
      <c r="B119" s="243" t="s">
        <v>1922</v>
      </c>
      <c r="C119" s="244">
        <v>0</v>
      </c>
      <c r="D119" s="245">
        <v>4228</v>
      </c>
      <c r="E119" s="181">
        <f t="shared" si="1"/>
        <v>4228</v>
      </c>
    </row>
    <row r="120" spans="1:5" ht="16.5">
      <c r="A120" s="242" t="s">
        <v>464</v>
      </c>
      <c r="B120" s="243" t="s">
        <v>1923</v>
      </c>
      <c r="C120" s="244">
        <v>0</v>
      </c>
      <c r="D120" s="245">
        <v>0</v>
      </c>
      <c r="E120" s="181">
        <f t="shared" si="1"/>
        <v>0</v>
      </c>
    </row>
    <row r="121" spans="1:5" ht="16.5">
      <c r="A121" s="242" t="s">
        <v>466</v>
      </c>
      <c r="B121" s="243" t="s">
        <v>1924</v>
      </c>
      <c r="C121" s="244">
        <v>3634</v>
      </c>
      <c r="D121" s="245">
        <v>2899</v>
      </c>
      <c r="E121" s="181">
        <f t="shared" si="1"/>
        <v>6533</v>
      </c>
    </row>
    <row r="122" spans="1:5" ht="16.5">
      <c r="A122" s="242" t="s">
        <v>468</v>
      </c>
      <c r="B122" s="243" t="s">
        <v>1925</v>
      </c>
      <c r="C122" s="244">
        <v>0</v>
      </c>
      <c r="D122" s="245">
        <v>0</v>
      </c>
      <c r="E122" s="181">
        <f t="shared" si="1"/>
        <v>0</v>
      </c>
    </row>
    <row r="123" spans="1:5" ht="16.5">
      <c r="A123" s="242" t="s">
        <v>470</v>
      </c>
      <c r="B123" s="243" t="s">
        <v>1926</v>
      </c>
      <c r="C123" s="244">
        <v>0</v>
      </c>
      <c r="D123" s="245">
        <v>0</v>
      </c>
      <c r="E123" s="181">
        <f t="shared" si="1"/>
        <v>0</v>
      </c>
    </row>
    <row r="124" spans="1:5" ht="16.5">
      <c r="A124" s="242" t="s">
        <v>1052</v>
      </c>
      <c r="B124" s="243" t="s">
        <v>1269</v>
      </c>
      <c r="C124" s="244">
        <v>0</v>
      </c>
      <c r="D124" s="245">
        <v>0</v>
      </c>
      <c r="E124" s="181">
        <f t="shared" si="1"/>
        <v>0</v>
      </c>
    </row>
    <row r="125" spans="1:5" ht="16.5">
      <c r="A125" s="242" t="s">
        <v>488</v>
      </c>
      <c r="B125" s="243" t="s">
        <v>1927</v>
      </c>
      <c r="C125" s="244">
        <v>0</v>
      </c>
      <c r="D125" s="245">
        <v>0</v>
      </c>
      <c r="E125" s="181">
        <f t="shared" si="1"/>
        <v>0</v>
      </c>
    </row>
    <row r="126" spans="1:5" ht="16.5">
      <c r="A126" s="242" t="s">
        <v>490</v>
      </c>
      <c r="B126" s="243" t="s">
        <v>1928</v>
      </c>
      <c r="C126" s="244">
        <v>17167</v>
      </c>
      <c r="D126" s="245">
        <v>6770</v>
      </c>
      <c r="E126" s="181">
        <f t="shared" si="1"/>
        <v>23937</v>
      </c>
    </row>
    <row r="127" spans="1:5" ht="16.5">
      <c r="A127" s="242" t="s">
        <v>492</v>
      </c>
      <c r="B127" s="243" t="s">
        <v>1929</v>
      </c>
      <c r="C127" s="244">
        <v>0</v>
      </c>
      <c r="D127" s="245">
        <v>0</v>
      </c>
      <c r="E127" s="181">
        <f t="shared" si="1"/>
        <v>0</v>
      </c>
    </row>
    <row r="128" spans="1:5" ht="16.5">
      <c r="A128" s="242" t="s">
        <v>494</v>
      </c>
      <c r="B128" s="243" t="s">
        <v>1930</v>
      </c>
      <c r="C128" s="244">
        <v>57420</v>
      </c>
      <c r="D128" s="245">
        <v>0</v>
      </c>
      <c r="E128" s="181">
        <f t="shared" si="1"/>
        <v>57420</v>
      </c>
    </row>
    <row r="129" spans="1:5" ht="16.5">
      <c r="A129" s="242" t="s">
        <v>496</v>
      </c>
      <c r="B129" s="243" t="s">
        <v>1931</v>
      </c>
      <c r="C129" s="244">
        <v>8627</v>
      </c>
      <c r="D129" s="245">
        <v>0</v>
      </c>
      <c r="E129" s="181">
        <f t="shared" si="1"/>
        <v>8627</v>
      </c>
    </row>
    <row r="130" spans="1:5" ht="16.5">
      <c r="A130" s="242" t="s">
        <v>497</v>
      </c>
      <c r="B130" s="243" t="s">
        <v>1932</v>
      </c>
      <c r="C130" s="244">
        <v>62745</v>
      </c>
      <c r="D130" s="245">
        <v>0</v>
      </c>
      <c r="E130" s="181">
        <f t="shared" si="1"/>
        <v>62745</v>
      </c>
    </row>
    <row r="131" spans="1:5" ht="16.5">
      <c r="A131" s="242" t="s">
        <v>499</v>
      </c>
      <c r="B131" s="243" t="s">
        <v>1933</v>
      </c>
      <c r="C131" s="244">
        <v>324077</v>
      </c>
      <c r="D131" s="245">
        <v>9929</v>
      </c>
      <c r="E131" s="181">
        <f t="shared" si="1"/>
        <v>334006</v>
      </c>
    </row>
    <row r="132" spans="1:5" ht="16.5">
      <c r="A132" s="242" t="s">
        <v>38</v>
      </c>
      <c r="B132" s="243" t="s">
        <v>1934</v>
      </c>
      <c r="C132" s="244">
        <v>0</v>
      </c>
      <c r="D132" s="245">
        <v>0</v>
      </c>
      <c r="E132" s="181">
        <f t="shared" si="1"/>
        <v>0</v>
      </c>
    </row>
    <row r="133" spans="1:5" ht="16.5">
      <c r="A133" s="242" t="s">
        <v>39</v>
      </c>
      <c r="B133" s="243" t="s">
        <v>1935</v>
      </c>
      <c r="C133" s="244">
        <v>0</v>
      </c>
      <c r="D133" s="245">
        <v>0</v>
      </c>
      <c r="E133" s="181">
        <f t="shared" si="1"/>
        <v>0</v>
      </c>
    </row>
    <row r="134" spans="1:5" ht="16.5">
      <c r="A134" s="242" t="s">
        <v>41</v>
      </c>
      <c r="B134" s="243" t="s">
        <v>1936</v>
      </c>
      <c r="C134" s="244">
        <v>0</v>
      </c>
      <c r="D134" s="245">
        <v>0</v>
      </c>
      <c r="E134" s="181">
        <f t="shared" ref="E134:E197" si="2">C134+D134</f>
        <v>0</v>
      </c>
    </row>
    <row r="135" spans="1:5" ht="16.5">
      <c r="A135" s="242" t="s">
        <v>43</v>
      </c>
      <c r="B135" s="243" t="s">
        <v>1937</v>
      </c>
      <c r="C135" s="244">
        <v>55255</v>
      </c>
      <c r="D135" s="245">
        <v>433</v>
      </c>
      <c r="E135" s="181">
        <f t="shared" si="2"/>
        <v>55688</v>
      </c>
    </row>
    <row r="136" spans="1:5" ht="16.5">
      <c r="A136" s="242" t="s">
        <v>45</v>
      </c>
      <c r="B136" s="243" t="s">
        <v>1938</v>
      </c>
      <c r="C136" s="244">
        <v>84657</v>
      </c>
      <c r="D136" s="245">
        <v>849</v>
      </c>
      <c r="E136" s="181">
        <f t="shared" si="2"/>
        <v>85506</v>
      </c>
    </row>
    <row r="137" spans="1:5" ht="16.5">
      <c r="A137" s="242" t="s">
        <v>71</v>
      </c>
      <c r="B137" s="243" t="s">
        <v>1939</v>
      </c>
      <c r="C137" s="244">
        <v>0</v>
      </c>
      <c r="D137" s="245">
        <v>0</v>
      </c>
      <c r="E137" s="181">
        <f t="shared" si="2"/>
        <v>0</v>
      </c>
    </row>
    <row r="138" spans="1:5" ht="16.5">
      <c r="A138" s="242" t="s">
        <v>73</v>
      </c>
      <c r="B138" s="243" t="s">
        <v>1940</v>
      </c>
      <c r="C138" s="244">
        <v>0</v>
      </c>
      <c r="D138" s="245">
        <v>0</v>
      </c>
      <c r="E138" s="181">
        <f t="shared" si="2"/>
        <v>0</v>
      </c>
    </row>
    <row r="139" spans="1:5" ht="16.5">
      <c r="A139" s="242" t="s">
        <v>75</v>
      </c>
      <c r="B139" s="243" t="s">
        <v>1941</v>
      </c>
      <c r="C139" s="244">
        <v>0</v>
      </c>
      <c r="D139" s="245">
        <v>149</v>
      </c>
      <c r="E139" s="181">
        <f t="shared" si="2"/>
        <v>149</v>
      </c>
    </row>
    <row r="140" spans="1:5" ht="16.5">
      <c r="A140" s="242" t="s">
        <v>205</v>
      </c>
      <c r="B140" s="243" t="s">
        <v>1942</v>
      </c>
      <c r="C140" s="244">
        <v>0</v>
      </c>
      <c r="D140" s="245">
        <v>17330</v>
      </c>
      <c r="E140" s="181">
        <f t="shared" si="2"/>
        <v>17330</v>
      </c>
    </row>
    <row r="141" spans="1:5" ht="16.5">
      <c r="A141" s="242" t="s">
        <v>207</v>
      </c>
      <c r="B141" s="243" t="s">
        <v>1943</v>
      </c>
      <c r="C141" s="244">
        <v>0</v>
      </c>
      <c r="D141" s="245">
        <v>0</v>
      </c>
      <c r="E141" s="181">
        <f t="shared" si="2"/>
        <v>0</v>
      </c>
    </row>
    <row r="142" spans="1:5" ht="16.5">
      <c r="A142" s="242" t="s">
        <v>209</v>
      </c>
      <c r="B142" s="243" t="s">
        <v>1944</v>
      </c>
      <c r="C142" s="244">
        <v>9279</v>
      </c>
      <c r="D142" s="245">
        <v>0</v>
      </c>
      <c r="E142" s="181">
        <f t="shared" si="2"/>
        <v>9279</v>
      </c>
    </row>
    <row r="143" spans="1:5" ht="16.5">
      <c r="A143" s="242" t="s">
        <v>211</v>
      </c>
      <c r="B143" s="243" t="s">
        <v>991</v>
      </c>
      <c r="C143" s="244">
        <v>0</v>
      </c>
      <c r="D143" s="245">
        <v>0</v>
      </c>
      <c r="E143" s="181">
        <f t="shared" si="2"/>
        <v>0</v>
      </c>
    </row>
    <row r="144" spans="1:5" ht="16.5">
      <c r="A144" s="242" t="s">
        <v>89</v>
      </c>
      <c r="B144" s="243" t="s">
        <v>1945</v>
      </c>
      <c r="C144" s="244">
        <v>0</v>
      </c>
      <c r="D144" s="245">
        <v>0</v>
      </c>
      <c r="E144" s="181">
        <f t="shared" si="2"/>
        <v>0</v>
      </c>
    </row>
    <row r="145" spans="1:5" ht="16.5">
      <c r="A145" s="242" t="s">
        <v>90</v>
      </c>
      <c r="B145" s="243" t="s">
        <v>1946</v>
      </c>
      <c r="C145" s="244">
        <v>310516</v>
      </c>
      <c r="D145" s="245">
        <v>0</v>
      </c>
      <c r="E145" s="181">
        <f t="shared" si="2"/>
        <v>310516</v>
      </c>
    </row>
    <row r="146" spans="1:5" ht="16.5">
      <c r="A146" s="242" t="s">
        <v>92</v>
      </c>
      <c r="B146" s="243" t="s">
        <v>1947</v>
      </c>
      <c r="C146" s="244">
        <v>0</v>
      </c>
      <c r="D146" s="245">
        <v>0</v>
      </c>
      <c r="E146" s="181">
        <f t="shared" si="2"/>
        <v>0</v>
      </c>
    </row>
    <row r="147" spans="1:5" ht="16.5">
      <c r="A147" s="242" t="s">
        <v>94</v>
      </c>
      <c r="B147" s="243" t="s">
        <v>1948</v>
      </c>
      <c r="C147" s="244">
        <v>0</v>
      </c>
      <c r="D147" s="245">
        <v>79</v>
      </c>
      <c r="E147" s="181">
        <f t="shared" si="2"/>
        <v>79</v>
      </c>
    </row>
    <row r="148" spans="1:5" ht="16.5">
      <c r="A148" s="242" t="s">
        <v>97</v>
      </c>
      <c r="B148" s="243" t="s">
        <v>1949</v>
      </c>
      <c r="C148" s="244">
        <v>23805</v>
      </c>
      <c r="D148" s="245">
        <v>0</v>
      </c>
      <c r="E148" s="181">
        <f t="shared" si="2"/>
        <v>23805</v>
      </c>
    </row>
    <row r="149" spans="1:5" ht="16.5">
      <c r="A149" s="242" t="s">
        <v>99</v>
      </c>
      <c r="B149" s="243" t="s">
        <v>1950</v>
      </c>
      <c r="C149" s="244">
        <v>1438</v>
      </c>
      <c r="D149" s="245">
        <v>3814</v>
      </c>
      <c r="E149" s="181">
        <f t="shared" si="2"/>
        <v>5252</v>
      </c>
    </row>
    <row r="150" spans="1:5" ht="16.5">
      <c r="A150" s="242" t="s">
        <v>101</v>
      </c>
      <c r="B150" s="243" t="s">
        <v>1951</v>
      </c>
      <c r="C150" s="244">
        <v>0</v>
      </c>
      <c r="D150" s="245">
        <v>0</v>
      </c>
      <c r="E150" s="181">
        <f t="shared" si="2"/>
        <v>0</v>
      </c>
    </row>
    <row r="151" spans="1:5" ht="16.5">
      <c r="A151" s="242" t="s">
        <v>103</v>
      </c>
      <c r="B151" s="243" t="s">
        <v>1952</v>
      </c>
      <c r="C151" s="244">
        <v>0</v>
      </c>
      <c r="D151" s="245">
        <v>0</v>
      </c>
      <c r="E151" s="181">
        <f t="shared" si="2"/>
        <v>0</v>
      </c>
    </row>
    <row r="152" spans="1:5" ht="16.5">
      <c r="A152" s="242" t="s">
        <v>214</v>
      </c>
      <c r="B152" s="243" t="s">
        <v>1953</v>
      </c>
      <c r="C152" s="244">
        <v>0</v>
      </c>
      <c r="D152" s="245">
        <v>0</v>
      </c>
      <c r="E152" s="181">
        <f t="shared" si="2"/>
        <v>0</v>
      </c>
    </row>
    <row r="153" spans="1:5" ht="16.5">
      <c r="A153" s="242" t="s">
        <v>216</v>
      </c>
      <c r="B153" s="243" t="s">
        <v>1954</v>
      </c>
      <c r="C153" s="244">
        <v>0</v>
      </c>
      <c r="D153" s="245">
        <v>0</v>
      </c>
      <c r="E153" s="181">
        <f t="shared" si="2"/>
        <v>0</v>
      </c>
    </row>
    <row r="154" spans="1:5" ht="16.5">
      <c r="A154" s="242" t="s">
        <v>48</v>
      </c>
      <c r="B154" s="243" t="s">
        <v>1955</v>
      </c>
      <c r="C154" s="244">
        <v>0</v>
      </c>
      <c r="D154" s="245">
        <v>0</v>
      </c>
      <c r="E154" s="181">
        <f t="shared" si="2"/>
        <v>0</v>
      </c>
    </row>
    <row r="155" spans="1:5" ht="16.5">
      <c r="A155" s="242" t="s">
        <v>50</v>
      </c>
      <c r="B155" s="243" t="s">
        <v>1956</v>
      </c>
      <c r="C155" s="244">
        <v>0</v>
      </c>
      <c r="D155" s="245">
        <v>13194</v>
      </c>
      <c r="E155" s="181">
        <f t="shared" si="2"/>
        <v>13194</v>
      </c>
    </row>
    <row r="156" spans="1:5" ht="16.5">
      <c r="A156" s="242" t="s">
        <v>316</v>
      </c>
      <c r="B156" s="243" t="s">
        <v>1957</v>
      </c>
      <c r="C156" s="244">
        <v>0</v>
      </c>
      <c r="D156" s="245">
        <v>0</v>
      </c>
      <c r="E156" s="181">
        <f t="shared" si="2"/>
        <v>0</v>
      </c>
    </row>
    <row r="157" spans="1:5" ht="16.5">
      <c r="A157" s="242" t="s">
        <v>318</v>
      </c>
      <c r="B157" s="243" t="s">
        <v>1286</v>
      </c>
      <c r="C157" s="244">
        <v>10892</v>
      </c>
      <c r="D157" s="245">
        <v>0</v>
      </c>
      <c r="E157" s="181">
        <f t="shared" si="2"/>
        <v>10892</v>
      </c>
    </row>
    <row r="158" spans="1:5" ht="16.5">
      <c r="A158" s="242" t="s">
        <v>320</v>
      </c>
      <c r="B158" s="243" t="s">
        <v>1958</v>
      </c>
      <c r="C158" s="244">
        <v>0</v>
      </c>
      <c r="D158" s="245">
        <v>0</v>
      </c>
      <c r="E158" s="181">
        <f t="shared" si="2"/>
        <v>0</v>
      </c>
    </row>
    <row r="159" spans="1:5" ht="16.5">
      <c r="A159" s="242" t="s">
        <v>322</v>
      </c>
      <c r="B159" s="243" t="s">
        <v>1959</v>
      </c>
      <c r="C159" s="244">
        <v>239564</v>
      </c>
      <c r="D159" s="245">
        <v>0</v>
      </c>
      <c r="E159" s="181">
        <f t="shared" si="2"/>
        <v>239564</v>
      </c>
    </row>
    <row r="160" spans="1:5" ht="16.5">
      <c r="A160" s="242" t="s">
        <v>324</v>
      </c>
      <c r="B160" s="243" t="s">
        <v>1960</v>
      </c>
      <c r="C160" s="244">
        <v>0</v>
      </c>
      <c r="D160" s="245">
        <v>0</v>
      </c>
      <c r="E160" s="181">
        <f t="shared" si="2"/>
        <v>0</v>
      </c>
    </row>
    <row r="161" spans="1:5" ht="16.5">
      <c r="A161" s="242" t="s">
        <v>326</v>
      </c>
      <c r="B161" s="243" t="s">
        <v>1961</v>
      </c>
      <c r="C161" s="244">
        <v>0</v>
      </c>
      <c r="D161" s="245">
        <v>0</v>
      </c>
      <c r="E161" s="181">
        <f t="shared" si="2"/>
        <v>0</v>
      </c>
    </row>
    <row r="162" spans="1:5" ht="16.5">
      <c r="A162" s="242" t="s">
        <v>328</v>
      </c>
      <c r="B162" s="243" t="s">
        <v>1962</v>
      </c>
      <c r="C162" s="244">
        <v>0</v>
      </c>
      <c r="D162" s="245">
        <v>0</v>
      </c>
      <c r="E162" s="181">
        <f t="shared" si="2"/>
        <v>0</v>
      </c>
    </row>
    <row r="163" spans="1:5" ht="16.5">
      <c r="A163" s="242" t="s">
        <v>104</v>
      </c>
      <c r="B163" s="243" t="s">
        <v>1963</v>
      </c>
      <c r="C163" s="244">
        <v>33631</v>
      </c>
      <c r="D163" s="245">
        <v>4846</v>
      </c>
      <c r="E163" s="181">
        <f t="shared" si="2"/>
        <v>38477</v>
      </c>
    </row>
    <row r="164" spans="1:5" ht="16.5">
      <c r="A164" s="242" t="s">
        <v>106</v>
      </c>
      <c r="B164" s="243" t="s">
        <v>1964</v>
      </c>
      <c r="C164" s="244">
        <v>0</v>
      </c>
      <c r="D164" s="245">
        <v>0</v>
      </c>
      <c r="E164" s="181">
        <f t="shared" si="2"/>
        <v>0</v>
      </c>
    </row>
    <row r="165" spans="1:5" ht="33">
      <c r="A165" s="242" t="s">
        <v>587</v>
      </c>
      <c r="B165" s="243" t="s">
        <v>1965</v>
      </c>
      <c r="C165" s="244">
        <v>43084</v>
      </c>
      <c r="D165" s="245">
        <v>1026</v>
      </c>
      <c r="E165" s="181">
        <f t="shared" si="2"/>
        <v>44110</v>
      </c>
    </row>
    <row r="166" spans="1:5" ht="16.5">
      <c r="A166" s="242" t="s">
        <v>108</v>
      </c>
      <c r="B166" s="243" t="s">
        <v>1966</v>
      </c>
      <c r="C166" s="244">
        <v>5205</v>
      </c>
      <c r="D166" s="245">
        <v>0</v>
      </c>
      <c r="E166" s="181">
        <f t="shared" si="2"/>
        <v>5205</v>
      </c>
    </row>
    <row r="167" spans="1:5" ht="16.5">
      <c r="A167" s="242" t="s">
        <v>110</v>
      </c>
      <c r="B167" s="243" t="s">
        <v>1967</v>
      </c>
      <c r="C167" s="244">
        <v>0</v>
      </c>
      <c r="D167" s="245">
        <v>8005</v>
      </c>
      <c r="E167" s="181">
        <f t="shared" si="2"/>
        <v>8005</v>
      </c>
    </row>
    <row r="168" spans="1:5" ht="16.5">
      <c r="A168" s="242" t="s">
        <v>112</v>
      </c>
      <c r="B168" s="243" t="s">
        <v>1968</v>
      </c>
      <c r="C168" s="244">
        <v>93554</v>
      </c>
      <c r="D168" s="245">
        <v>0</v>
      </c>
      <c r="E168" s="181">
        <f t="shared" si="2"/>
        <v>93554</v>
      </c>
    </row>
    <row r="169" spans="1:5" ht="16.5">
      <c r="A169" s="242" t="s">
        <v>114</v>
      </c>
      <c r="B169" s="243" t="s">
        <v>1969</v>
      </c>
      <c r="C169" s="244">
        <v>0</v>
      </c>
      <c r="D169" s="245">
        <v>2494</v>
      </c>
      <c r="E169" s="181">
        <f t="shared" si="2"/>
        <v>2494</v>
      </c>
    </row>
    <row r="170" spans="1:5" ht="16.5">
      <c r="A170" s="242" t="s">
        <v>116</v>
      </c>
      <c r="B170" s="243" t="s">
        <v>1970</v>
      </c>
      <c r="C170" s="244">
        <v>0</v>
      </c>
      <c r="D170" s="245">
        <v>1001</v>
      </c>
      <c r="E170" s="181">
        <f t="shared" si="2"/>
        <v>1001</v>
      </c>
    </row>
    <row r="171" spans="1:5" ht="16.5">
      <c r="A171" s="242" t="s">
        <v>118</v>
      </c>
      <c r="B171" s="243" t="s">
        <v>1971</v>
      </c>
      <c r="C171" s="244">
        <v>10931</v>
      </c>
      <c r="D171" s="245">
        <v>0</v>
      </c>
      <c r="E171" s="181">
        <f t="shared" si="2"/>
        <v>10931</v>
      </c>
    </row>
    <row r="172" spans="1:5" ht="16.5">
      <c r="A172" s="242" t="s">
        <v>119</v>
      </c>
      <c r="B172" s="243" t="s">
        <v>1972</v>
      </c>
      <c r="C172" s="244">
        <v>8266</v>
      </c>
      <c r="D172" s="245">
        <v>0</v>
      </c>
      <c r="E172" s="181">
        <f t="shared" si="2"/>
        <v>8266</v>
      </c>
    </row>
    <row r="173" spans="1:5" ht="16.5">
      <c r="A173" s="242" t="s">
        <v>159</v>
      </c>
      <c r="B173" s="243" t="s">
        <v>1973</v>
      </c>
      <c r="C173" s="244">
        <v>0</v>
      </c>
      <c r="D173" s="245">
        <v>0</v>
      </c>
      <c r="E173" s="181">
        <f t="shared" si="2"/>
        <v>0</v>
      </c>
    </row>
    <row r="174" spans="1:5" ht="16.5">
      <c r="A174" s="242" t="s">
        <v>163</v>
      </c>
      <c r="B174" s="243" t="s">
        <v>1974</v>
      </c>
      <c r="C174" s="244">
        <v>0</v>
      </c>
      <c r="D174" s="245">
        <v>0</v>
      </c>
      <c r="E174" s="181">
        <f t="shared" si="2"/>
        <v>0</v>
      </c>
    </row>
    <row r="175" spans="1:5" ht="16.5">
      <c r="A175" s="242" t="s">
        <v>165</v>
      </c>
      <c r="B175" s="243" t="s">
        <v>1975</v>
      </c>
      <c r="C175" s="244">
        <v>13341</v>
      </c>
      <c r="D175" s="245">
        <v>0</v>
      </c>
      <c r="E175" s="181">
        <f t="shared" si="2"/>
        <v>13341</v>
      </c>
    </row>
    <row r="176" spans="1:5" ht="16.5">
      <c r="A176" s="242" t="s">
        <v>167</v>
      </c>
      <c r="B176" s="243" t="s">
        <v>1976</v>
      </c>
      <c r="C176" s="244">
        <v>108112</v>
      </c>
      <c r="D176" s="245">
        <v>0</v>
      </c>
      <c r="E176" s="181">
        <f t="shared" si="2"/>
        <v>108112</v>
      </c>
    </row>
    <row r="177" spans="1:5" ht="16.5">
      <c r="A177" s="242" t="s">
        <v>169</v>
      </c>
      <c r="B177" s="243" t="s">
        <v>1977</v>
      </c>
      <c r="C177" s="244">
        <v>5464</v>
      </c>
      <c r="D177" s="245">
        <v>997</v>
      </c>
      <c r="E177" s="181">
        <f t="shared" si="2"/>
        <v>6461</v>
      </c>
    </row>
    <row r="178" spans="1:5" ht="16.5">
      <c r="A178" s="242" t="s">
        <v>0</v>
      </c>
      <c r="B178" s="243" t="s">
        <v>1978</v>
      </c>
      <c r="C178" s="244">
        <v>0</v>
      </c>
      <c r="D178" s="245">
        <v>0</v>
      </c>
      <c r="E178" s="181">
        <f t="shared" si="2"/>
        <v>0</v>
      </c>
    </row>
    <row r="179" spans="1:5" ht="16.5">
      <c r="A179" s="242" t="s">
        <v>2</v>
      </c>
      <c r="B179" s="243" t="s">
        <v>1979</v>
      </c>
      <c r="C179" s="244">
        <v>1119778</v>
      </c>
      <c r="D179" s="245">
        <v>46280</v>
      </c>
      <c r="E179" s="181">
        <f t="shared" si="2"/>
        <v>1166058</v>
      </c>
    </row>
    <row r="180" spans="1:5" ht="16.5">
      <c r="A180" s="242" t="s">
        <v>388</v>
      </c>
      <c r="B180" s="243" t="s">
        <v>1980</v>
      </c>
      <c r="C180" s="244">
        <v>11542</v>
      </c>
      <c r="D180" s="245">
        <v>1110</v>
      </c>
      <c r="E180" s="181">
        <f t="shared" si="2"/>
        <v>12652</v>
      </c>
    </row>
    <row r="181" spans="1:5" ht="16.5">
      <c r="A181" s="242" t="s">
        <v>391</v>
      </c>
      <c r="B181" s="243" t="s">
        <v>1981</v>
      </c>
      <c r="C181" s="244">
        <v>2232</v>
      </c>
      <c r="D181" s="245">
        <v>0</v>
      </c>
      <c r="E181" s="181">
        <f t="shared" si="2"/>
        <v>2232</v>
      </c>
    </row>
    <row r="182" spans="1:5" ht="16.5">
      <c r="A182" s="242" t="s">
        <v>393</v>
      </c>
      <c r="B182" s="243" t="s">
        <v>1982</v>
      </c>
      <c r="C182" s="244">
        <v>0</v>
      </c>
      <c r="D182" s="245">
        <v>0</v>
      </c>
      <c r="E182" s="181">
        <f t="shared" si="2"/>
        <v>0</v>
      </c>
    </row>
    <row r="183" spans="1:5" ht="16.5">
      <c r="A183" s="242" t="s">
        <v>395</v>
      </c>
      <c r="B183" s="243" t="s">
        <v>1983</v>
      </c>
      <c r="C183" s="244">
        <v>0</v>
      </c>
      <c r="D183" s="245">
        <v>0</v>
      </c>
      <c r="E183" s="181">
        <f t="shared" si="2"/>
        <v>0</v>
      </c>
    </row>
    <row r="184" spans="1:5" ht="16.5">
      <c r="A184" s="246" t="s">
        <v>1515</v>
      </c>
      <c r="B184" s="243" t="s">
        <v>1567</v>
      </c>
      <c r="C184" s="244">
        <v>0</v>
      </c>
      <c r="D184" s="245">
        <v>0</v>
      </c>
      <c r="E184" s="181">
        <f t="shared" si="2"/>
        <v>0</v>
      </c>
    </row>
    <row r="185" spans="1:5" ht="16.5">
      <c r="A185" s="242" t="s">
        <v>397</v>
      </c>
      <c r="B185" s="243" t="s">
        <v>1984</v>
      </c>
      <c r="C185" s="244">
        <v>0</v>
      </c>
      <c r="D185" s="245">
        <v>0</v>
      </c>
      <c r="E185" s="181">
        <f t="shared" si="2"/>
        <v>0</v>
      </c>
    </row>
    <row r="186" spans="1:5" ht="16.5">
      <c r="A186" s="242" t="s">
        <v>399</v>
      </c>
      <c r="B186" s="243" t="s">
        <v>1985</v>
      </c>
      <c r="C186" s="244">
        <v>0</v>
      </c>
      <c r="D186" s="245">
        <v>0</v>
      </c>
      <c r="E186" s="181">
        <f t="shared" si="2"/>
        <v>0</v>
      </c>
    </row>
    <row r="187" spans="1:5" ht="16.5">
      <c r="A187" s="242" t="s">
        <v>401</v>
      </c>
      <c r="B187" s="243" t="s">
        <v>1986</v>
      </c>
      <c r="C187" s="244">
        <v>0</v>
      </c>
      <c r="D187" s="245">
        <v>2815</v>
      </c>
      <c r="E187" s="181">
        <f t="shared" si="2"/>
        <v>2815</v>
      </c>
    </row>
    <row r="188" spans="1:5" ht="16.5">
      <c r="A188" s="242" t="s">
        <v>384</v>
      </c>
      <c r="B188" s="243" t="s">
        <v>1987</v>
      </c>
      <c r="C188" s="244">
        <v>0</v>
      </c>
      <c r="D188" s="245">
        <v>0</v>
      </c>
      <c r="E188" s="181">
        <f t="shared" si="2"/>
        <v>0</v>
      </c>
    </row>
    <row r="189" spans="1:5" ht="16.5">
      <c r="A189" s="242" t="s">
        <v>386</v>
      </c>
      <c r="B189" s="243" t="s">
        <v>1988</v>
      </c>
      <c r="C189" s="244">
        <v>0</v>
      </c>
      <c r="D189" s="245">
        <v>1592</v>
      </c>
      <c r="E189" s="181">
        <f t="shared" si="2"/>
        <v>1592</v>
      </c>
    </row>
    <row r="190" spans="1:5" ht="16.5">
      <c r="A190" s="242" t="s">
        <v>936</v>
      </c>
      <c r="B190" s="243" t="s">
        <v>1989</v>
      </c>
      <c r="C190" s="244">
        <v>0</v>
      </c>
      <c r="D190" s="245">
        <v>0</v>
      </c>
      <c r="E190" s="181">
        <f t="shared" si="2"/>
        <v>0</v>
      </c>
    </row>
    <row r="191" spans="1:5" ht="16.5">
      <c r="A191" s="242" t="s">
        <v>348</v>
      </c>
      <c r="B191" s="243" t="s">
        <v>1990</v>
      </c>
      <c r="C191" s="244">
        <v>0</v>
      </c>
      <c r="D191" s="245">
        <v>0</v>
      </c>
      <c r="E191" s="181">
        <f t="shared" si="2"/>
        <v>0</v>
      </c>
    </row>
    <row r="192" spans="1:5" ht="16.5">
      <c r="A192" s="246" t="s">
        <v>1518</v>
      </c>
      <c r="B192" s="243" t="s">
        <v>1570</v>
      </c>
      <c r="C192" s="244">
        <v>0</v>
      </c>
      <c r="D192" s="245">
        <v>0</v>
      </c>
      <c r="E192" s="181">
        <f t="shared" si="2"/>
        <v>0</v>
      </c>
    </row>
    <row r="193" spans="1:5" ht="16.5">
      <c r="A193" s="242" t="s">
        <v>350</v>
      </c>
      <c r="B193" s="243" t="s">
        <v>1991</v>
      </c>
      <c r="C193" s="244">
        <v>25173</v>
      </c>
      <c r="D193" s="245">
        <v>0</v>
      </c>
      <c r="E193" s="181">
        <f t="shared" si="2"/>
        <v>25173</v>
      </c>
    </row>
    <row r="194" spans="1:5" ht="16.5">
      <c r="A194" s="242" t="s">
        <v>352</v>
      </c>
      <c r="B194" s="243" t="s">
        <v>1992</v>
      </c>
      <c r="C194" s="244">
        <v>0</v>
      </c>
      <c r="D194" s="245">
        <v>0</v>
      </c>
      <c r="E194" s="181">
        <f t="shared" si="2"/>
        <v>0</v>
      </c>
    </row>
    <row r="195" spans="1:5" ht="16.5">
      <c r="A195" s="242" t="s">
        <v>354</v>
      </c>
      <c r="B195" s="243" t="s">
        <v>1993</v>
      </c>
      <c r="C195" s="244">
        <v>0</v>
      </c>
      <c r="D195" s="245">
        <v>0</v>
      </c>
      <c r="E195" s="181">
        <f t="shared" si="2"/>
        <v>0</v>
      </c>
    </row>
    <row r="196" spans="1:5" ht="16.5">
      <c r="A196" s="242" t="s">
        <v>67</v>
      </c>
      <c r="B196" s="243" t="s">
        <v>1994</v>
      </c>
      <c r="C196" s="244">
        <v>0</v>
      </c>
      <c r="D196" s="245">
        <v>1711</v>
      </c>
      <c r="E196" s="181">
        <f t="shared" si="2"/>
        <v>1711</v>
      </c>
    </row>
    <row r="197" spans="1:5" ht="16.5">
      <c r="A197" s="242" t="s">
        <v>243</v>
      </c>
      <c r="B197" s="243" t="s">
        <v>1995</v>
      </c>
      <c r="C197" s="244">
        <v>13771</v>
      </c>
      <c r="D197" s="245">
        <v>38</v>
      </c>
      <c r="E197" s="181">
        <f t="shared" si="2"/>
        <v>13809</v>
      </c>
    </row>
    <row r="198" spans="1:5" ht="16.5">
      <c r="A198" s="242" t="s">
        <v>362</v>
      </c>
      <c r="B198" s="243" t="s">
        <v>1996</v>
      </c>
      <c r="C198" s="244">
        <v>2133</v>
      </c>
      <c r="D198" s="245">
        <v>0</v>
      </c>
      <c r="E198" s="181">
        <f t="shared" ref="E198:E261" si="3">C198+D198</f>
        <v>2133</v>
      </c>
    </row>
    <row r="199" spans="1:5" ht="16.5">
      <c r="A199" s="242" t="s">
        <v>935</v>
      </c>
      <c r="B199" s="243" t="s">
        <v>1997</v>
      </c>
      <c r="C199" s="244">
        <v>0</v>
      </c>
      <c r="D199" s="245">
        <v>145</v>
      </c>
      <c r="E199" s="181">
        <f t="shared" si="3"/>
        <v>145</v>
      </c>
    </row>
    <row r="200" spans="1:5" ht="16.5">
      <c r="A200" s="242" t="s">
        <v>364</v>
      </c>
      <c r="B200" s="243" t="s">
        <v>1998</v>
      </c>
      <c r="C200" s="244">
        <v>2171</v>
      </c>
      <c r="D200" s="245">
        <v>364</v>
      </c>
      <c r="E200" s="181">
        <f t="shared" si="3"/>
        <v>2535</v>
      </c>
    </row>
    <row r="201" spans="1:5" ht="33">
      <c r="A201" s="242" t="s">
        <v>961</v>
      </c>
      <c r="B201" s="243" t="s">
        <v>1158</v>
      </c>
      <c r="C201" s="244">
        <v>0</v>
      </c>
      <c r="D201" s="245">
        <v>0</v>
      </c>
      <c r="E201" s="181">
        <f t="shared" si="3"/>
        <v>0</v>
      </c>
    </row>
    <row r="202" spans="1:5" ht="16.5">
      <c r="A202" s="242" t="s">
        <v>368</v>
      </c>
      <c r="B202" s="243" t="s">
        <v>1999</v>
      </c>
      <c r="C202" s="244">
        <v>0</v>
      </c>
      <c r="D202" s="245">
        <v>0</v>
      </c>
      <c r="E202" s="181">
        <f t="shared" si="3"/>
        <v>0</v>
      </c>
    </row>
    <row r="203" spans="1:5" ht="16.5">
      <c r="A203" s="242" t="s">
        <v>370</v>
      </c>
      <c r="B203" s="243" t="s">
        <v>2000</v>
      </c>
      <c r="C203" s="244">
        <v>36701</v>
      </c>
      <c r="D203" s="245">
        <v>0</v>
      </c>
      <c r="E203" s="181">
        <f t="shared" si="3"/>
        <v>36701</v>
      </c>
    </row>
    <row r="204" spans="1:5" ht="16.5">
      <c r="A204" s="242" t="s">
        <v>372</v>
      </c>
      <c r="B204" s="243" t="s">
        <v>2001</v>
      </c>
      <c r="C204" s="244">
        <v>0</v>
      </c>
      <c r="D204" s="245">
        <v>0</v>
      </c>
      <c r="E204" s="181">
        <f t="shared" si="3"/>
        <v>0</v>
      </c>
    </row>
    <row r="205" spans="1:5" ht="16.5">
      <c r="A205" s="242" t="s">
        <v>374</v>
      </c>
      <c r="B205" s="243" t="s">
        <v>2002</v>
      </c>
      <c r="C205" s="244">
        <v>10198</v>
      </c>
      <c r="D205" s="245">
        <v>1089</v>
      </c>
      <c r="E205" s="181">
        <f t="shared" si="3"/>
        <v>11287</v>
      </c>
    </row>
    <row r="206" spans="1:5" ht="16.5">
      <c r="A206" s="242" t="s">
        <v>376</v>
      </c>
      <c r="B206" s="243" t="s">
        <v>2003</v>
      </c>
      <c r="C206" s="244">
        <v>315480</v>
      </c>
      <c r="D206" s="245">
        <v>0</v>
      </c>
      <c r="E206" s="181">
        <f t="shared" si="3"/>
        <v>315480</v>
      </c>
    </row>
    <row r="207" spans="1:5" ht="16.5">
      <c r="A207" s="242" t="s">
        <v>378</v>
      </c>
      <c r="B207" s="243" t="s">
        <v>2004</v>
      </c>
      <c r="C207" s="244">
        <v>0</v>
      </c>
      <c r="D207" s="245">
        <v>0</v>
      </c>
      <c r="E207" s="181">
        <f t="shared" si="3"/>
        <v>0</v>
      </c>
    </row>
    <row r="208" spans="1:5" ht="16.5">
      <c r="A208" s="242" t="s">
        <v>380</v>
      </c>
      <c r="B208" s="243" t="s">
        <v>2005</v>
      </c>
      <c r="C208" s="244">
        <v>0</v>
      </c>
      <c r="D208" s="245">
        <v>0</v>
      </c>
      <c r="E208" s="181">
        <f t="shared" si="3"/>
        <v>0</v>
      </c>
    </row>
    <row r="209" spans="1:5" ht="16.5">
      <c r="A209" s="242" t="s">
        <v>382</v>
      </c>
      <c r="B209" s="243" t="s">
        <v>2006</v>
      </c>
      <c r="C209" s="244">
        <v>181649</v>
      </c>
      <c r="D209" s="245">
        <v>0</v>
      </c>
      <c r="E209" s="181">
        <f t="shared" si="3"/>
        <v>181649</v>
      </c>
    </row>
    <row r="210" spans="1:5" ht="16.5">
      <c r="A210" s="242" t="s">
        <v>270</v>
      </c>
      <c r="B210" s="243" t="s">
        <v>2007</v>
      </c>
      <c r="C210" s="244">
        <v>42314</v>
      </c>
      <c r="D210" s="245">
        <v>699</v>
      </c>
      <c r="E210" s="181">
        <f t="shared" si="3"/>
        <v>43013</v>
      </c>
    </row>
    <row r="211" spans="1:5" ht="16.5">
      <c r="A211" s="242" t="s">
        <v>274</v>
      </c>
      <c r="B211" s="243" t="s">
        <v>2008</v>
      </c>
      <c r="C211" s="244">
        <v>5259</v>
      </c>
      <c r="D211" s="245">
        <v>0</v>
      </c>
      <c r="E211" s="181">
        <f t="shared" si="3"/>
        <v>5259</v>
      </c>
    </row>
    <row r="212" spans="1:5" ht="16.5">
      <c r="A212" s="242" t="s">
        <v>276</v>
      </c>
      <c r="B212" s="243" t="s">
        <v>2009</v>
      </c>
      <c r="C212" s="244">
        <v>0</v>
      </c>
      <c r="D212" s="245">
        <v>0</v>
      </c>
      <c r="E212" s="181">
        <f t="shared" si="3"/>
        <v>0</v>
      </c>
    </row>
    <row r="213" spans="1:5" ht="16.5">
      <c r="A213" s="242" t="s">
        <v>546</v>
      </c>
      <c r="B213" s="243" t="s">
        <v>2010</v>
      </c>
      <c r="C213" s="244">
        <v>0</v>
      </c>
      <c r="D213" s="245">
        <v>0</v>
      </c>
      <c r="E213" s="181">
        <f t="shared" si="3"/>
        <v>0</v>
      </c>
    </row>
    <row r="214" spans="1:5" ht="16.5">
      <c r="A214" s="242" t="s">
        <v>547</v>
      </c>
      <c r="B214" s="243" t="s">
        <v>2011</v>
      </c>
      <c r="C214" s="244">
        <v>0</v>
      </c>
      <c r="D214" s="245">
        <v>0</v>
      </c>
      <c r="E214" s="181">
        <f t="shared" si="3"/>
        <v>0</v>
      </c>
    </row>
    <row r="215" spans="1:5" ht="16.5">
      <c r="A215" s="242" t="s">
        <v>549</v>
      </c>
      <c r="B215" s="243" t="s">
        <v>1135</v>
      </c>
      <c r="C215" s="244">
        <v>149142</v>
      </c>
      <c r="D215" s="245">
        <v>0</v>
      </c>
      <c r="E215" s="181">
        <f t="shared" si="3"/>
        <v>149142</v>
      </c>
    </row>
    <row r="216" spans="1:5" ht="16.5">
      <c r="A216" s="242" t="s">
        <v>551</v>
      </c>
      <c r="B216" s="243" t="s">
        <v>2012</v>
      </c>
      <c r="C216" s="244">
        <v>79037</v>
      </c>
      <c r="D216" s="245">
        <v>1384</v>
      </c>
      <c r="E216" s="181">
        <f t="shared" si="3"/>
        <v>80421</v>
      </c>
    </row>
    <row r="217" spans="1:5" ht="16.5">
      <c r="A217" s="242" t="s">
        <v>553</v>
      </c>
      <c r="B217" s="243" t="s">
        <v>2013</v>
      </c>
      <c r="C217" s="244">
        <v>0</v>
      </c>
      <c r="D217" s="245">
        <v>0</v>
      </c>
      <c r="E217" s="181">
        <f t="shared" si="3"/>
        <v>0</v>
      </c>
    </row>
    <row r="218" spans="1:5" ht="16.5">
      <c r="A218" s="242" t="s">
        <v>555</v>
      </c>
      <c r="B218" s="243" t="s">
        <v>2014</v>
      </c>
      <c r="C218" s="244">
        <v>1119</v>
      </c>
      <c r="D218" s="245">
        <v>0</v>
      </c>
      <c r="E218" s="181">
        <f t="shared" si="3"/>
        <v>1119</v>
      </c>
    </row>
    <row r="219" spans="1:5" ht="16.5">
      <c r="A219" s="242" t="s">
        <v>557</v>
      </c>
      <c r="B219" s="243" t="s">
        <v>2015</v>
      </c>
      <c r="C219" s="244">
        <v>29437</v>
      </c>
      <c r="D219" s="245">
        <v>2020</v>
      </c>
      <c r="E219" s="181">
        <f t="shared" si="3"/>
        <v>31457</v>
      </c>
    </row>
    <row r="220" spans="1:5" ht="16.5">
      <c r="A220" s="242" t="s">
        <v>561</v>
      </c>
      <c r="B220" s="243" t="s">
        <v>2016</v>
      </c>
      <c r="C220" s="244">
        <v>115655</v>
      </c>
      <c r="D220" s="245">
        <v>2357</v>
      </c>
      <c r="E220" s="181">
        <f t="shared" si="3"/>
        <v>118012</v>
      </c>
    </row>
    <row r="221" spans="1:5" ht="16.5">
      <c r="A221" s="242" t="s">
        <v>563</v>
      </c>
      <c r="B221" s="243" t="s">
        <v>2017</v>
      </c>
      <c r="C221" s="244">
        <v>316609</v>
      </c>
      <c r="D221" s="245">
        <v>2</v>
      </c>
      <c r="E221" s="181">
        <f t="shared" si="3"/>
        <v>316611</v>
      </c>
    </row>
    <row r="222" spans="1:5" ht="16.5">
      <c r="A222" s="242" t="s">
        <v>77</v>
      </c>
      <c r="B222" s="243" t="s">
        <v>2018</v>
      </c>
      <c r="C222" s="244">
        <v>0</v>
      </c>
      <c r="D222" s="245">
        <v>1005</v>
      </c>
      <c r="E222" s="181">
        <f t="shared" si="3"/>
        <v>1005</v>
      </c>
    </row>
    <row r="223" spans="1:5" ht="16.5">
      <c r="A223" s="242" t="s">
        <v>79</v>
      </c>
      <c r="B223" s="243" t="s">
        <v>2019</v>
      </c>
      <c r="C223" s="244">
        <v>0</v>
      </c>
      <c r="D223" s="245">
        <v>0</v>
      </c>
      <c r="E223" s="181">
        <f t="shared" si="3"/>
        <v>0</v>
      </c>
    </row>
    <row r="224" spans="1:5" ht="16.5">
      <c r="A224" s="242" t="s">
        <v>81</v>
      </c>
      <c r="B224" s="243" t="s">
        <v>2020</v>
      </c>
      <c r="C224" s="244">
        <v>178405</v>
      </c>
      <c r="D224" s="245">
        <v>6057</v>
      </c>
      <c r="E224" s="181">
        <f t="shared" si="3"/>
        <v>184462</v>
      </c>
    </row>
    <row r="225" spans="1:5" ht="16.5">
      <c r="A225" s="242" t="s">
        <v>83</v>
      </c>
      <c r="B225" s="243" t="s">
        <v>2021</v>
      </c>
      <c r="C225" s="244">
        <v>0</v>
      </c>
      <c r="D225" s="245">
        <v>2212</v>
      </c>
      <c r="E225" s="181">
        <f t="shared" si="3"/>
        <v>2212</v>
      </c>
    </row>
    <row r="226" spans="1:5" ht="16.5">
      <c r="A226" s="242" t="s">
        <v>85</v>
      </c>
      <c r="B226" s="243" t="s">
        <v>2022</v>
      </c>
      <c r="C226" s="244">
        <v>5177</v>
      </c>
      <c r="D226" s="245">
        <v>0</v>
      </c>
      <c r="E226" s="181">
        <f t="shared" si="3"/>
        <v>5177</v>
      </c>
    </row>
    <row r="227" spans="1:5" ht="16.5">
      <c r="A227" s="242" t="s">
        <v>567</v>
      </c>
      <c r="B227" s="243" t="s">
        <v>2023</v>
      </c>
      <c r="C227" s="244">
        <v>0</v>
      </c>
      <c r="D227" s="245">
        <v>0</v>
      </c>
      <c r="E227" s="181">
        <f t="shared" si="3"/>
        <v>0</v>
      </c>
    </row>
    <row r="228" spans="1:5" ht="16.5">
      <c r="A228" s="242" t="s">
        <v>569</v>
      </c>
      <c r="B228" s="243" t="s">
        <v>2024</v>
      </c>
      <c r="C228" s="244">
        <v>0</v>
      </c>
      <c r="D228" s="245">
        <v>0</v>
      </c>
      <c r="E228" s="181">
        <f t="shared" si="3"/>
        <v>0</v>
      </c>
    </row>
    <row r="229" spans="1:5" ht="16.5">
      <c r="A229" s="242" t="s">
        <v>571</v>
      </c>
      <c r="B229" s="243" t="s">
        <v>2025</v>
      </c>
      <c r="C229" s="244">
        <v>18765</v>
      </c>
      <c r="D229" s="245">
        <v>1060</v>
      </c>
      <c r="E229" s="181">
        <f t="shared" si="3"/>
        <v>19825</v>
      </c>
    </row>
    <row r="230" spans="1:5" ht="16.5">
      <c r="A230" s="242" t="s">
        <v>937</v>
      </c>
      <c r="B230" s="243" t="s">
        <v>993</v>
      </c>
      <c r="C230" s="244">
        <v>23818</v>
      </c>
      <c r="D230" s="245">
        <v>581</v>
      </c>
      <c r="E230" s="181">
        <f t="shared" si="3"/>
        <v>24399</v>
      </c>
    </row>
    <row r="231" spans="1:5" ht="16.5">
      <c r="A231" s="242" t="s">
        <v>573</v>
      </c>
      <c r="B231" s="243" t="s">
        <v>2026</v>
      </c>
      <c r="C231" s="244">
        <v>53009</v>
      </c>
      <c r="D231" s="245">
        <v>0</v>
      </c>
      <c r="E231" s="181">
        <f t="shared" si="3"/>
        <v>53009</v>
      </c>
    </row>
    <row r="232" spans="1:5" ht="16.5">
      <c r="A232" s="242" t="s">
        <v>541</v>
      </c>
      <c r="B232" s="243" t="s">
        <v>2027</v>
      </c>
      <c r="C232" s="244">
        <v>0</v>
      </c>
      <c r="D232" s="245">
        <v>522</v>
      </c>
      <c r="E232" s="181">
        <f t="shared" si="3"/>
        <v>522</v>
      </c>
    </row>
    <row r="233" spans="1:5" ht="16.5">
      <c r="A233" s="242" t="s">
        <v>543</v>
      </c>
      <c r="B233" s="243" t="s">
        <v>2028</v>
      </c>
      <c r="C233" s="244">
        <v>0</v>
      </c>
      <c r="D233" s="245">
        <v>0</v>
      </c>
      <c r="E233" s="181">
        <f t="shared" si="3"/>
        <v>0</v>
      </c>
    </row>
    <row r="234" spans="1:5" ht="16.5">
      <c r="A234" s="242" t="s">
        <v>57</v>
      </c>
      <c r="B234" s="243" t="s">
        <v>2029</v>
      </c>
      <c r="C234" s="244">
        <v>11183</v>
      </c>
      <c r="D234" s="245">
        <v>270</v>
      </c>
      <c r="E234" s="181">
        <f t="shared" si="3"/>
        <v>11453</v>
      </c>
    </row>
    <row r="235" spans="1:5" ht="16.5">
      <c r="A235" s="242" t="s">
        <v>61</v>
      </c>
      <c r="B235" s="243" t="s">
        <v>2030</v>
      </c>
      <c r="C235" s="244">
        <v>0</v>
      </c>
      <c r="D235" s="245">
        <v>925</v>
      </c>
      <c r="E235" s="181">
        <f t="shared" si="3"/>
        <v>925</v>
      </c>
    </row>
    <row r="236" spans="1:5" ht="16.5">
      <c r="A236" s="242" t="s">
        <v>65</v>
      </c>
      <c r="B236" s="243" t="s">
        <v>2031</v>
      </c>
      <c r="C236" s="244">
        <v>0</v>
      </c>
      <c r="D236" s="245">
        <v>0</v>
      </c>
      <c r="E236" s="181">
        <f t="shared" si="3"/>
        <v>0</v>
      </c>
    </row>
    <row r="237" spans="1:5" ht="16.5">
      <c r="A237" s="242" t="s">
        <v>66</v>
      </c>
      <c r="B237" s="243" t="s">
        <v>2032</v>
      </c>
      <c r="C237" s="244">
        <v>0</v>
      </c>
      <c r="D237" s="245">
        <v>0</v>
      </c>
      <c r="E237" s="181">
        <f t="shared" si="3"/>
        <v>0</v>
      </c>
    </row>
    <row r="238" spans="1:5" ht="16.5">
      <c r="A238" s="242" t="s">
        <v>7</v>
      </c>
      <c r="B238" s="243" t="s">
        <v>2033</v>
      </c>
      <c r="C238" s="244">
        <v>43139</v>
      </c>
      <c r="D238" s="245">
        <v>8437</v>
      </c>
      <c r="E238" s="181">
        <f t="shared" si="3"/>
        <v>51576</v>
      </c>
    </row>
    <row r="239" spans="1:5" ht="16.5">
      <c r="A239" s="242" t="s">
        <v>954</v>
      </c>
      <c r="B239" s="243" t="s">
        <v>1156</v>
      </c>
      <c r="C239" s="244">
        <v>0</v>
      </c>
      <c r="D239" s="245">
        <v>0</v>
      </c>
      <c r="E239" s="181">
        <f t="shared" si="3"/>
        <v>0</v>
      </c>
    </row>
    <row r="240" spans="1:5" ht="16.5">
      <c r="A240" s="242" t="s">
        <v>934</v>
      </c>
      <c r="B240" s="243" t="s">
        <v>1229</v>
      </c>
      <c r="C240" s="244">
        <v>0</v>
      </c>
      <c r="D240" s="245">
        <v>0</v>
      </c>
      <c r="E240" s="181">
        <f t="shared" si="3"/>
        <v>0</v>
      </c>
    </row>
    <row r="241" spans="1:5" ht="16.5">
      <c r="A241" s="242" t="s">
        <v>933</v>
      </c>
      <c r="B241" s="243" t="s">
        <v>1154</v>
      </c>
      <c r="C241" s="244">
        <v>0</v>
      </c>
      <c r="D241" s="245">
        <v>0</v>
      </c>
      <c r="E241" s="181">
        <f t="shared" si="3"/>
        <v>0</v>
      </c>
    </row>
    <row r="242" spans="1:5" ht="16.5">
      <c r="A242" s="242" t="s">
        <v>9</v>
      </c>
      <c r="B242" s="243" t="s">
        <v>2034</v>
      </c>
      <c r="C242" s="244">
        <v>0</v>
      </c>
      <c r="D242" s="245">
        <v>0</v>
      </c>
      <c r="E242" s="181">
        <f t="shared" si="3"/>
        <v>0</v>
      </c>
    </row>
    <row r="243" spans="1:5" ht="16.5">
      <c r="A243" s="242" t="s">
        <v>246</v>
      </c>
      <c r="B243" s="243" t="s">
        <v>2035</v>
      </c>
      <c r="C243" s="244">
        <v>99314</v>
      </c>
      <c r="D243" s="245">
        <v>1379</v>
      </c>
      <c r="E243" s="181">
        <f t="shared" si="3"/>
        <v>100693</v>
      </c>
    </row>
    <row r="244" spans="1:5" ht="16.5">
      <c r="A244" s="242" t="s">
        <v>248</v>
      </c>
      <c r="B244" s="243" t="s">
        <v>2036</v>
      </c>
      <c r="C244" s="244">
        <v>1609</v>
      </c>
      <c r="D244" s="245">
        <v>36844</v>
      </c>
      <c r="E244" s="181">
        <f t="shared" si="3"/>
        <v>38453</v>
      </c>
    </row>
    <row r="245" spans="1:5" ht="33">
      <c r="A245" s="242" t="s">
        <v>881</v>
      </c>
      <c r="B245" s="243" t="s">
        <v>996</v>
      </c>
      <c r="C245" s="244">
        <v>21620</v>
      </c>
      <c r="D245" s="245">
        <v>35</v>
      </c>
      <c r="E245" s="181">
        <f t="shared" si="3"/>
        <v>21655</v>
      </c>
    </row>
    <row r="246" spans="1:5" ht="16.5">
      <c r="A246" s="242" t="s">
        <v>250</v>
      </c>
      <c r="B246" s="243" t="s">
        <v>2037</v>
      </c>
      <c r="C246" s="244">
        <v>0</v>
      </c>
      <c r="D246" s="245">
        <v>10628</v>
      </c>
      <c r="E246" s="181">
        <f t="shared" si="3"/>
        <v>10628</v>
      </c>
    </row>
    <row r="247" spans="1:5" ht="16.5">
      <c r="A247" s="242" t="s">
        <v>252</v>
      </c>
      <c r="B247" s="243" t="s">
        <v>2038</v>
      </c>
      <c r="C247" s="244">
        <v>0</v>
      </c>
      <c r="D247" s="245">
        <v>2037</v>
      </c>
      <c r="E247" s="181">
        <f t="shared" si="3"/>
        <v>2037</v>
      </c>
    </row>
    <row r="248" spans="1:5" ht="16.5">
      <c r="A248" s="242" t="s">
        <v>254</v>
      </c>
      <c r="B248" s="243" t="s">
        <v>2039</v>
      </c>
      <c r="C248" s="244">
        <v>0</v>
      </c>
      <c r="D248" s="245">
        <v>0</v>
      </c>
      <c r="E248" s="181">
        <f t="shared" si="3"/>
        <v>0</v>
      </c>
    </row>
    <row r="249" spans="1:5" ht="16.5">
      <c r="A249" s="242" t="s">
        <v>256</v>
      </c>
      <c r="B249" s="243" t="s">
        <v>2040</v>
      </c>
      <c r="C249" s="244">
        <v>0</v>
      </c>
      <c r="D249" s="245">
        <v>0</v>
      </c>
      <c r="E249" s="181">
        <f t="shared" si="3"/>
        <v>0</v>
      </c>
    </row>
    <row r="250" spans="1:5" ht="16.5">
      <c r="A250" s="242" t="s">
        <v>258</v>
      </c>
      <c r="B250" s="243" t="s">
        <v>2041</v>
      </c>
      <c r="C250" s="244">
        <v>0</v>
      </c>
      <c r="D250" s="245">
        <v>5308</v>
      </c>
      <c r="E250" s="181">
        <f t="shared" si="3"/>
        <v>5308</v>
      </c>
    </row>
    <row r="251" spans="1:5" ht="16.5">
      <c r="A251" s="242" t="s">
        <v>260</v>
      </c>
      <c r="B251" s="243" t="s">
        <v>2042</v>
      </c>
      <c r="C251" s="244">
        <v>0</v>
      </c>
      <c r="D251" s="245">
        <v>0</v>
      </c>
      <c r="E251" s="181">
        <f t="shared" si="3"/>
        <v>0</v>
      </c>
    </row>
    <row r="252" spans="1:5" ht="16.5">
      <c r="A252" s="242" t="s">
        <v>262</v>
      </c>
      <c r="B252" s="243" t="s">
        <v>2043</v>
      </c>
      <c r="C252" s="244">
        <v>4705</v>
      </c>
      <c r="D252" s="245">
        <v>0</v>
      </c>
      <c r="E252" s="181">
        <f t="shared" si="3"/>
        <v>4705</v>
      </c>
    </row>
    <row r="253" spans="1:5" ht="16.5">
      <c r="A253" s="242" t="s">
        <v>264</v>
      </c>
      <c r="B253" s="243" t="s">
        <v>2044</v>
      </c>
      <c r="C253" s="244">
        <v>8545</v>
      </c>
      <c r="D253" s="245">
        <v>1053</v>
      </c>
      <c r="E253" s="181">
        <f t="shared" si="3"/>
        <v>9598</v>
      </c>
    </row>
    <row r="254" spans="1:5" ht="16.5">
      <c r="A254" s="242" t="s">
        <v>266</v>
      </c>
      <c r="B254" s="243" t="s">
        <v>2045</v>
      </c>
      <c r="C254" s="244">
        <v>215310</v>
      </c>
      <c r="D254" s="245">
        <v>2202</v>
      </c>
      <c r="E254" s="181">
        <f t="shared" si="3"/>
        <v>217512</v>
      </c>
    </row>
    <row r="255" spans="1:5" ht="16.5">
      <c r="A255" s="242" t="s">
        <v>268</v>
      </c>
      <c r="B255" s="243" t="s">
        <v>2046</v>
      </c>
      <c r="C255" s="244">
        <v>0</v>
      </c>
      <c r="D255" s="245">
        <v>0</v>
      </c>
      <c r="E255" s="181">
        <f t="shared" si="3"/>
        <v>0</v>
      </c>
    </row>
    <row r="256" spans="1:5" ht="16.5">
      <c r="A256" s="242" t="s">
        <v>566</v>
      </c>
      <c r="B256" s="243" t="s">
        <v>2047</v>
      </c>
      <c r="C256" s="244">
        <v>0</v>
      </c>
      <c r="D256" s="245">
        <v>319</v>
      </c>
      <c r="E256" s="181">
        <f t="shared" si="3"/>
        <v>319</v>
      </c>
    </row>
    <row r="257" spans="1:5" ht="16.5">
      <c r="A257" s="242" t="s">
        <v>189</v>
      </c>
      <c r="B257" s="243" t="s">
        <v>2048</v>
      </c>
      <c r="C257" s="244">
        <v>0</v>
      </c>
      <c r="D257" s="245">
        <v>0</v>
      </c>
      <c r="E257" s="181">
        <f t="shared" si="3"/>
        <v>0</v>
      </c>
    </row>
    <row r="258" spans="1:5" ht="16.5">
      <c r="A258" s="242" t="s">
        <v>191</v>
      </c>
      <c r="B258" s="243" t="s">
        <v>2049</v>
      </c>
      <c r="C258" s="244">
        <v>34711</v>
      </c>
      <c r="D258" s="245">
        <v>12557</v>
      </c>
      <c r="E258" s="181">
        <f t="shared" si="3"/>
        <v>47268</v>
      </c>
    </row>
    <row r="259" spans="1:5" ht="16.5">
      <c r="A259" s="242" t="s">
        <v>193</v>
      </c>
      <c r="B259" s="243" t="s">
        <v>2050</v>
      </c>
      <c r="C259" s="244">
        <v>0</v>
      </c>
      <c r="D259" s="245">
        <v>0</v>
      </c>
      <c r="E259" s="181">
        <f t="shared" si="3"/>
        <v>0</v>
      </c>
    </row>
    <row r="260" spans="1:5" ht="16.5">
      <c r="A260" s="242" t="s">
        <v>278</v>
      </c>
      <c r="B260" s="243" t="s">
        <v>2051</v>
      </c>
      <c r="C260" s="244">
        <v>0</v>
      </c>
      <c r="D260" s="245">
        <v>0</v>
      </c>
      <c r="E260" s="181">
        <f t="shared" si="3"/>
        <v>0</v>
      </c>
    </row>
    <row r="261" spans="1:5" ht="16.5">
      <c r="A261" s="242" t="s">
        <v>280</v>
      </c>
      <c r="B261" s="243" t="s">
        <v>2052</v>
      </c>
      <c r="C261" s="244">
        <v>0</v>
      </c>
      <c r="D261" s="245">
        <v>0</v>
      </c>
      <c r="E261" s="181">
        <f t="shared" si="3"/>
        <v>0</v>
      </c>
    </row>
    <row r="262" spans="1:5" ht="16.5">
      <c r="A262" s="242" t="s">
        <v>501</v>
      </c>
      <c r="B262" s="243" t="s">
        <v>2053</v>
      </c>
      <c r="C262" s="244">
        <v>0</v>
      </c>
      <c r="D262" s="245">
        <v>0</v>
      </c>
      <c r="E262" s="181">
        <f t="shared" ref="E262:E287" si="4">C262+D262</f>
        <v>0</v>
      </c>
    </row>
    <row r="263" spans="1:5" ht="16.5">
      <c r="A263" s="242" t="s">
        <v>505</v>
      </c>
      <c r="B263" s="243" t="s">
        <v>2054</v>
      </c>
      <c r="C263" s="244">
        <v>276192</v>
      </c>
      <c r="D263" s="245">
        <v>16401</v>
      </c>
      <c r="E263" s="181">
        <f t="shared" si="4"/>
        <v>292593</v>
      </c>
    </row>
    <row r="264" spans="1:5" ht="16.5">
      <c r="A264" s="242" t="s">
        <v>507</v>
      </c>
      <c r="B264" s="243" t="s">
        <v>2055</v>
      </c>
      <c r="C264" s="244">
        <v>0</v>
      </c>
      <c r="D264" s="245">
        <v>0</v>
      </c>
      <c r="E264" s="181">
        <f t="shared" si="4"/>
        <v>0</v>
      </c>
    </row>
    <row r="265" spans="1:5" ht="16.5">
      <c r="A265" s="242" t="s">
        <v>509</v>
      </c>
      <c r="B265" s="243" t="s">
        <v>1298</v>
      </c>
      <c r="C265" s="244">
        <v>0</v>
      </c>
      <c r="D265" s="245">
        <v>0</v>
      </c>
      <c r="E265" s="181">
        <f t="shared" si="4"/>
        <v>0</v>
      </c>
    </row>
    <row r="266" spans="1:5" ht="16.5">
      <c r="A266" s="242" t="s">
        <v>511</v>
      </c>
      <c r="B266" s="243" t="s">
        <v>2056</v>
      </c>
      <c r="C266" s="244">
        <v>73157</v>
      </c>
      <c r="D266" s="245">
        <v>8407</v>
      </c>
      <c r="E266" s="181">
        <f t="shared" si="4"/>
        <v>81564</v>
      </c>
    </row>
    <row r="267" spans="1:5" ht="16.5">
      <c r="A267" s="242" t="s">
        <v>32</v>
      </c>
      <c r="B267" s="243" t="s">
        <v>2057</v>
      </c>
      <c r="C267" s="244">
        <v>1874</v>
      </c>
      <c r="D267" s="245">
        <v>5882</v>
      </c>
      <c r="E267" s="181">
        <f t="shared" si="4"/>
        <v>7756</v>
      </c>
    </row>
    <row r="268" spans="1:5" ht="33">
      <c r="A268" s="242" t="s">
        <v>837</v>
      </c>
      <c r="B268" s="243" t="s">
        <v>2058</v>
      </c>
      <c r="C268" s="244">
        <v>0</v>
      </c>
      <c r="D268" s="245">
        <v>0</v>
      </c>
      <c r="E268" s="181">
        <f t="shared" si="4"/>
        <v>0</v>
      </c>
    </row>
    <row r="269" spans="1:5" ht="16.5">
      <c r="A269" s="242" t="s">
        <v>34</v>
      </c>
      <c r="B269" s="243" t="s">
        <v>2059</v>
      </c>
      <c r="C269" s="244">
        <v>885</v>
      </c>
      <c r="D269" s="245">
        <v>0</v>
      </c>
      <c r="E269" s="181">
        <f t="shared" si="4"/>
        <v>885</v>
      </c>
    </row>
    <row r="270" spans="1:5" ht="16.5">
      <c r="A270" s="242" t="s">
        <v>36</v>
      </c>
      <c r="B270" s="243" t="s">
        <v>2060</v>
      </c>
      <c r="C270" s="244">
        <v>0</v>
      </c>
      <c r="D270" s="245">
        <v>0</v>
      </c>
      <c r="E270" s="181">
        <f t="shared" si="4"/>
        <v>0</v>
      </c>
    </row>
    <row r="271" spans="1:5" ht="16.5">
      <c r="A271" s="242" t="s">
        <v>522</v>
      </c>
      <c r="B271" s="243" t="s">
        <v>2061</v>
      </c>
      <c r="C271" s="244">
        <v>0</v>
      </c>
      <c r="D271" s="245">
        <v>0</v>
      </c>
      <c r="E271" s="181">
        <f t="shared" si="4"/>
        <v>0</v>
      </c>
    </row>
    <row r="272" spans="1:5" ht="16.5">
      <c r="A272" s="242" t="s">
        <v>485</v>
      </c>
      <c r="B272" s="243" t="s">
        <v>2062</v>
      </c>
      <c r="C272" s="244">
        <v>13289</v>
      </c>
      <c r="D272" s="245">
        <v>0</v>
      </c>
      <c r="E272" s="181">
        <f t="shared" si="4"/>
        <v>13289</v>
      </c>
    </row>
    <row r="273" spans="1:5" ht="16.5">
      <c r="A273" s="242" t="s">
        <v>298</v>
      </c>
      <c r="B273" s="243" t="s">
        <v>2063</v>
      </c>
      <c r="C273" s="244">
        <v>9972</v>
      </c>
      <c r="D273" s="245">
        <v>0</v>
      </c>
      <c r="E273" s="181">
        <f t="shared" si="4"/>
        <v>9972</v>
      </c>
    </row>
    <row r="274" spans="1:5" ht="16.5">
      <c r="A274" s="242" t="s">
        <v>299</v>
      </c>
      <c r="B274" s="243" t="s">
        <v>2064</v>
      </c>
      <c r="C274" s="244">
        <v>44788</v>
      </c>
      <c r="D274" s="245">
        <v>2614</v>
      </c>
      <c r="E274" s="181">
        <f t="shared" si="4"/>
        <v>47402</v>
      </c>
    </row>
    <row r="275" spans="1:5" ht="33">
      <c r="A275" s="246" t="s">
        <v>1311</v>
      </c>
      <c r="B275" s="243" t="s">
        <v>1312</v>
      </c>
      <c r="C275" s="244">
        <v>1285</v>
      </c>
      <c r="D275" s="245">
        <v>0</v>
      </c>
      <c r="E275" s="181">
        <f t="shared" si="4"/>
        <v>1285</v>
      </c>
    </row>
    <row r="276" spans="1:5" ht="16.5">
      <c r="A276" s="242" t="s">
        <v>300</v>
      </c>
      <c r="B276" s="243" t="s">
        <v>2065</v>
      </c>
      <c r="C276" s="244">
        <v>0</v>
      </c>
      <c r="D276" s="245">
        <v>1661</v>
      </c>
      <c r="E276" s="181">
        <f t="shared" si="4"/>
        <v>1661</v>
      </c>
    </row>
    <row r="277" spans="1:5" ht="16.5">
      <c r="A277" s="242" t="s">
        <v>302</v>
      </c>
      <c r="B277" s="243" t="s">
        <v>2066</v>
      </c>
      <c r="C277" s="244">
        <v>0</v>
      </c>
      <c r="D277" s="245">
        <v>0</v>
      </c>
      <c r="E277" s="181">
        <f t="shared" si="4"/>
        <v>0</v>
      </c>
    </row>
    <row r="278" spans="1:5" ht="33">
      <c r="A278" s="246" t="s">
        <v>1161</v>
      </c>
      <c r="B278" s="243" t="s">
        <v>2067</v>
      </c>
      <c r="C278" s="244">
        <v>0</v>
      </c>
      <c r="D278" s="245">
        <v>0</v>
      </c>
      <c r="E278" s="181">
        <f t="shared" si="4"/>
        <v>0</v>
      </c>
    </row>
    <row r="279" spans="1:5" ht="16.5">
      <c r="A279" s="242" t="s">
        <v>306</v>
      </c>
      <c r="B279" s="243" t="s">
        <v>2068</v>
      </c>
      <c r="C279" s="244">
        <v>3461</v>
      </c>
      <c r="D279" s="245">
        <v>566</v>
      </c>
      <c r="E279" s="181">
        <f t="shared" si="4"/>
        <v>4027</v>
      </c>
    </row>
    <row r="280" spans="1:5" ht="16.5">
      <c r="A280" s="242" t="s">
        <v>308</v>
      </c>
      <c r="B280" s="243" t="s">
        <v>2069</v>
      </c>
      <c r="C280" s="244">
        <v>0</v>
      </c>
      <c r="D280" s="245">
        <v>0</v>
      </c>
      <c r="E280" s="181">
        <f t="shared" si="4"/>
        <v>0</v>
      </c>
    </row>
    <row r="281" spans="1:5" ht="16.5">
      <c r="A281" s="242" t="s">
        <v>310</v>
      </c>
      <c r="B281" s="243" t="s">
        <v>2070</v>
      </c>
      <c r="C281" s="244">
        <v>0</v>
      </c>
      <c r="D281" s="245">
        <v>6</v>
      </c>
      <c r="E281" s="181">
        <f t="shared" si="4"/>
        <v>6</v>
      </c>
    </row>
    <row r="282" spans="1:5" ht="16.5">
      <c r="A282" s="242" t="s">
        <v>312</v>
      </c>
      <c r="B282" s="243" t="s">
        <v>2071</v>
      </c>
      <c r="C282" s="244">
        <v>74049</v>
      </c>
      <c r="D282" s="245">
        <v>9654</v>
      </c>
      <c r="E282" s="181">
        <f t="shared" si="4"/>
        <v>83703</v>
      </c>
    </row>
    <row r="283" spans="1:5" ht="16.5">
      <c r="A283" s="242" t="s">
        <v>173</v>
      </c>
      <c r="B283" s="243" t="s">
        <v>2072</v>
      </c>
      <c r="C283" s="244">
        <v>27</v>
      </c>
      <c r="D283" s="245">
        <v>3003</v>
      </c>
      <c r="E283" s="181">
        <f t="shared" si="4"/>
        <v>3030</v>
      </c>
    </row>
    <row r="284" spans="1:5" ht="16.5">
      <c r="A284" s="242" t="s">
        <v>177</v>
      </c>
      <c r="B284" s="243" t="s">
        <v>2073</v>
      </c>
      <c r="C284" s="244">
        <v>0</v>
      </c>
      <c r="D284" s="245">
        <v>0</v>
      </c>
      <c r="E284" s="181">
        <f t="shared" si="4"/>
        <v>0</v>
      </c>
    </row>
    <row r="285" spans="1:5" ht="16.5">
      <c r="A285" s="242" t="s">
        <v>179</v>
      </c>
      <c r="B285" s="243" t="s">
        <v>2074</v>
      </c>
      <c r="C285" s="244">
        <v>20347</v>
      </c>
      <c r="D285" s="245">
        <v>45233</v>
      </c>
      <c r="E285" s="181">
        <f t="shared" si="4"/>
        <v>65580</v>
      </c>
    </row>
    <row r="286" spans="1:5" ht="16.5">
      <c r="A286" s="242" t="s">
        <v>181</v>
      </c>
      <c r="B286" s="243" t="s">
        <v>2075</v>
      </c>
      <c r="C286" s="244">
        <v>157121</v>
      </c>
      <c r="D286" s="245">
        <v>0</v>
      </c>
      <c r="E286" s="181">
        <f t="shared" si="4"/>
        <v>157121</v>
      </c>
    </row>
    <row r="287" spans="1:5" ht="16.5">
      <c r="A287" s="247" t="s">
        <v>407</v>
      </c>
      <c r="B287" s="248" t="s">
        <v>2076</v>
      </c>
      <c r="C287" s="249">
        <v>0</v>
      </c>
      <c r="D287" s="250">
        <v>0</v>
      </c>
      <c r="E287" s="181">
        <f t="shared" si="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59999389629810485"/>
  </sheetPr>
  <dimension ref="A1:D321"/>
  <sheetViews>
    <sheetView topLeftCell="A76" workbookViewId="0">
      <selection activeCell="C78" sqref="C78"/>
    </sheetView>
  </sheetViews>
  <sheetFormatPr defaultRowHeight="12.75"/>
  <cols>
    <col min="1" max="1" width="9.42578125" customWidth="1"/>
    <col min="2" max="2" width="7.140625" bestFit="1" customWidth="1"/>
    <col min="3" max="3" width="45.28515625" style="118" customWidth="1"/>
  </cols>
  <sheetData>
    <row r="1" spans="1:4">
      <c r="A1">
        <v>1</v>
      </c>
      <c r="B1">
        <v>2</v>
      </c>
      <c r="C1" s="118">
        <v>3</v>
      </c>
    </row>
    <row r="2" spans="1:4" s="4" customFormat="1" ht="16.5">
      <c r="A2" s="141" t="s">
        <v>584</v>
      </c>
      <c r="B2" s="142" t="s">
        <v>880</v>
      </c>
      <c r="C2" s="148" t="s">
        <v>1358</v>
      </c>
    </row>
    <row r="3" spans="1:4" ht="16.5">
      <c r="A3" s="143" t="s">
        <v>51</v>
      </c>
      <c r="B3" s="144" t="s">
        <v>965</v>
      </c>
      <c r="C3" s="149" t="s">
        <v>588</v>
      </c>
    </row>
    <row r="4" spans="1:4" ht="16.5">
      <c r="A4" s="143" t="s">
        <v>53</v>
      </c>
      <c r="B4" s="144" t="s">
        <v>965</v>
      </c>
      <c r="C4" s="149" t="s">
        <v>589</v>
      </c>
      <c r="D4" s="23"/>
    </row>
    <row r="5" spans="1:4" ht="16.5">
      <c r="A5" s="143" t="s">
        <v>55</v>
      </c>
      <c r="B5" s="145" t="s">
        <v>966</v>
      </c>
      <c r="C5" s="149" t="s">
        <v>590</v>
      </c>
      <c r="D5" s="23"/>
    </row>
    <row r="6" spans="1:4" ht="16.5">
      <c r="A6" s="143" t="s">
        <v>182</v>
      </c>
      <c r="B6" s="144" t="s">
        <v>967</v>
      </c>
      <c r="C6" s="149" t="s">
        <v>591</v>
      </c>
      <c r="D6" s="23"/>
    </row>
    <row r="7" spans="1:4" ht="16.5">
      <c r="A7" s="143" t="s">
        <v>471</v>
      </c>
      <c r="B7" s="144" t="s">
        <v>967</v>
      </c>
      <c r="C7" s="149" t="s">
        <v>592</v>
      </c>
      <c r="D7" s="23"/>
    </row>
    <row r="8" spans="1:4" ht="16.5">
      <c r="A8" s="143" t="s">
        <v>473</v>
      </c>
      <c r="B8" s="144" t="s">
        <v>968</v>
      </c>
      <c r="C8" s="149" t="s">
        <v>593</v>
      </c>
      <c r="D8" s="23"/>
    </row>
    <row r="9" spans="1:4" ht="16.5">
      <c r="A9" s="143" t="s">
        <v>474</v>
      </c>
      <c r="B9" s="144" t="s">
        <v>969</v>
      </c>
      <c r="C9" s="149" t="s">
        <v>594</v>
      </c>
      <c r="D9" s="23"/>
    </row>
    <row r="10" spans="1:4" ht="16.5">
      <c r="A10" s="143" t="s">
        <v>476</v>
      </c>
      <c r="B10" s="144" t="s">
        <v>969</v>
      </c>
      <c r="C10" s="149" t="s">
        <v>595</v>
      </c>
      <c r="D10" s="23"/>
    </row>
    <row r="11" spans="1:4" ht="16.5">
      <c r="A11" s="143" t="s">
        <v>477</v>
      </c>
      <c r="B11" s="144" t="s">
        <v>970</v>
      </c>
      <c r="C11" s="149" t="s">
        <v>596</v>
      </c>
      <c r="D11" s="23"/>
    </row>
    <row r="12" spans="1:4" ht="16.5">
      <c r="A12" s="143" t="s">
        <v>195</v>
      </c>
      <c r="B12" s="144" t="s">
        <v>969</v>
      </c>
      <c r="C12" s="149" t="s">
        <v>597</v>
      </c>
      <c r="D12" s="23"/>
    </row>
    <row r="13" spans="1:4" ht="16.5">
      <c r="A13" s="143" t="s">
        <v>197</v>
      </c>
      <c r="B13" s="144" t="s">
        <v>967</v>
      </c>
      <c r="C13" s="149" t="s">
        <v>598</v>
      </c>
      <c r="D13" s="23"/>
    </row>
    <row r="14" spans="1:4" ht="16.5">
      <c r="A14" s="143" t="s">
        <v>199</v>
      </c>
      <c r="B14" s="144" t="s">
        <v>966</v>
      </c>
      <c r="C14" s="149" t="s">
        <v>599</v>
      </c>
      <c r="D14" s="23"/>
    </row>
    <row r="15" spans="1:4" ht="16.5">
      <c r="A15" s="143" t="s">
        <v>201</v>
      </c>
      <c r="B15" s="144" t="s">
        <v>969</v>
      </c>
      <c r="C15" s="149" t="s">
        <v>600</v>
      </c>
      <c r="D15" s="23"/>
    </row>
    <row r="16" spans="1:4" ht="16.5">
      <c r="A16" s="143" t="s">
        <v>203</v>
      </c>
      <c r="B16" s="144" t="s">
        <v>971</v>
      </c>
      <c r="C16" s="149" t="s">
        <v>601</v>
      </c>
      <c r="D16" s="23"/>
    </row>
    <row r="17" spans="1:4" ht="16.5">
      <c r="A17" s="143" t="s">
        <v>14</v>
      </c>
      <c r="B17" s="144" t="s">
        <v>967</v>
      </c>
      <c r="C17" s="149" t="s">
        <v>602</v>
      </c>
      <c r="D17" s="23"/>
    </row>
    <row r="18" spans="1:4" ht="16.5">
      <c r="A18" s="143" t="s">
        <v>16</v>
      </c>
      <c r="B18" s="144" t="s">
        <v>965</v>
      </c>
      <c r="C18" s="149" t="s">
        <v>603</v>
      </c>
      <c r="D18" s="23"/>
    </row>
    <row r="19" spans="1:4" ht="16.5">
      <c r="A19" s="143" t="s">
        <v>524</v>
      </c>
      <c r="B19" s="144" t="s">
        <v>972</v>
      </c>
      <c r="C19" s="149" t="s">
        <v>604</v>
      </c>
      <c r="D19" s="23"/>
    </row>
    <row r="20" spans="1:4" ht="16.5">
      <c r="A20" s="143" t="s">
        <v>526</v>
      </c>
      <c r="B20" s="145" t="s">
        <v>973</v>
      </c>
      <c r="C20" s="149" t="s">
        <v>1506</v>
      </c>
      <c r="D20" s="23"/>
    </row>
    <row r="21" spans="1:4" ht="16.5">
      <c r="A21" s="143" t="s">
        <v>528</v>
      </c>
      <c r="B21" s="144" t="s">
        <v>973</v>
      </c>
      <c r="C21" s="149" t="s">
        <v>606</v>
      </c>
      <c r="D21" s="23"/>
    </row>
    <row r="22" spans="1:4" ht="16.5">
      <c r="A22" s="143" t="s">
        <v>530</v>
      </c>
      <c r="B22" s="144" t="s">
        <v>972</v>
      </c>
      <c r="C22" s="149" t="s">
        <v>607</v>
      </c>
      <c r="D22" s="23"/>
    </row>
    <row r="23" spans="1:4" ht="16.5">
      <c r="A23" s="143" t="s">
        <v>532</v>
      </c>
      <c r="B23" s="144" t="s">
        <v>967</v>
      </c>
      <c r="C23" s="149" t="s">
        <v>608</v>
      </c>
      <c r="D23" s="23"/>
    </row>
    <row r="24" spans="1:4" ht="16.5">
      <c r="A24" s="143" t="s">
        <v>534</v>
      </c>
      <c r="B24" s="144" t="s">
        <v>970</v>
      </c>
      <c r="C24" s="149" t="s">
        <v>609</v>
      </c>
      <c r="D24" s="23"/>
    </row>
    <row r="25" spans="1:4" ht="16.5">
      <c r="A25" s="143" t="s">
        <v>536</v>
      </c>
      <c r="B25" s="144" t="s">
        <v>972</v>
      </c>
      <c r="C25" s="149" t="s">
        <v>610</v>
      </c>
      <c r="D25" s="23"/>
    </row>
    <row r="26" spans="1:4" ht="16.5">
      <c r="A26" s="146" t="s">
        <v>538</v>
      </c>
      <c r="B26" s="144" t="s">
        <v>969</v>
      </c>
      <c r="C26" s="149" t="s">
        <v>847</v>
      </c>
      <c r="D26" s="23"/>
    </row>
    <row r="27" spans="1:4" ht="16.5">
      <c r="A27" s="143" t="s">
        <v>151</v>
      </c>
      <c r="B27" s="144" t="s">
        <v>973</v>
      </c>
      <c r="C27" s="149" t="s">
        <v>611</v>
      </c>
      <c r="D27" s="23"/>
    </row>
    <row r="28" spans="1:4" ht="16.5">
      <c r="A28" s="146" t="s">
        <v>153</v>
      </c>
      <c r="B28" s="144" t="s">
        <v>973</v>
      </c>
      <c r="C28" s="149" t="s">
        <v>612</v>
      </c>
      <c r="D28" s="23"/>
    </row>
    <row r="29" spans="1:4" ht="16.5">
      <c r="A29" s="143" t="s">
        <v>155</v>
      </c>
      <c r="B29" s="144" t="s">
        <v>970</v>
      </c>
      <c r="C29" s="149" t="s">
        <v>613</v>
      </c>
      <c r="D29" s="23"/>
    </row>
    <row r="30" spans="1:4" ht="16.5">
      <c r="A30" s="146" t="s">
        <v>1050</v>
      </c>
      <c r="B30" s="144" t="s">
        <v>972</v>
      </c>
      <c r="C30" s="149" t="s">
        <v>1507</v>
      </c>
      <c r="D30" s="23"/>
    </row>
    <row r="31" spans="1:4" ht="16.5">
      <c r="A31" s="143" t="s">
        <v>157</v>
      </c>
      <c r="B31" s="144" t="s">
        <v>970</v>
      </c>
      <c r="C31" s="149" t="s">
        <v>899</v>
      </c>
      <c r="D31" s="23"/>
    </row>
    <row r="32" spans="1:4" ht="16.5">
      <c r="A32" s="143" t="s">
        <v>281</v>
      </c>
      <c r="B32" s="144" t="s">
        <v>972</v>
      </c>
      <c r="C32" s="149" t="s">
        <v>614</v>
      </c>
      <c r="D32" s="23"/>
    </row>
    <row r="33" spans="1:4" ht="16.5">
      <c r="A33" s="143" t="s">
        <v>283</v>
      </c>
      <c r="B33" s="144" t="s">
        <v>966</v>
      </c>
      <c r="C33" s="149" t="s">
        <v>615</v>
      </c>
      <c r="D33" s="23"/>
    </row>
    <row r="34" spans="1:4" ht="16.5">
      <c r="A34" s="143" t="s">
        <v>285</v>
      </c>
      <c r="B34" s="145" t="s">
        <v>965</v>
      </c>
      <c r="C34" s="149" t="s">
        <v>616</v>
      </c>
      <c r="D34" s="23"/>
    </row>
    <row r="35" spans="1:4" ht="16.5">
      <c r="A35" s="143" t="s">
        <v>287</v>
      </c>
      <c r="B35" s="145" t="s">
        <v>965</v>
      </c>
      <c r="C35" s="149" t="s">
        <v>617</v>
      </c>
      <c r="D35" s="23"/>
    </row>
    <row r="36" spans="1:4" ht="16.5">
      <c r="A36" s="143" t="s">
        <v>289</v>
      </c>
      <c r="B36" s="144" t="s">
        <v>966</v>
      </c>
      <c r="C36" s="149" t="s">
        <v>618</v>
      </c>
      <c r="D36" s="23"/>
    </row>
    <row r="37" spans="1:4" ht="16.5">
      <c r="A37" s="143" t="s">
        <v>291</v>
      </c>
      <c r="B37" s="144" t="s">
        <v>966</v>
      </c>
      <c r="C37" s="149" t="s">
        <v>619</v>
      </c>
      <c r="D37" s="23"/>
    </row>
    <row r="38" spans="1:4" ht="16.5">
      <c r="A38" s="143" t="s">
        <v>19</v>
      </c>
      <c r="B38" s="144" t="s">
        <v>972</v>
      </c>
      <c r="C38" s="149" t="s">
        <v>620</v>
      </c>
      <c r="D38" s="23"/>
    </row>
    <row r="39" spans="1:4" ht="16.5">
      <c r="A39" s="143" t="s">
        <v>21</v>
      </c>
      <c r="B39" s="144" t="s">
        <v>968</v>
      </c>
      <c r="C39" s="149" t="s">
        <v>621</v>
      </c>
      <c r="D39" s="23"/>
    </row>
    <row r="40" spans="1:4" ht="16.5">
      <c r="A40" s="143" t="s">
        <v>23</v>
      </c>
      <c r="B40" s="144" t="s">
        <v>971</v>
      </c>
      <c r="C40" s="149" t="s">
        <v>1529</v>
      </c>
      <c r="D40" s="23"/>
    </row>
    <row r="41" spans="1:4" ht="16.5">
      <c r="A41" s="143" t="s">
        <v>25</v>
      </c>
      <c r="B41" s="144" t="s">
        <v>969</v>
      </c>
      <c r="C41" s="149" t="s">
        <v>1508</v>
      </c>
      <c r="D41" s="23"/>
    </row>
    <row r="42" spans="1:4" ht="16.5">
      <c r="A42" s="143" t="s">
        <v>27</v>
      </c>
      <c r="B42" s="145" t="s">
        <v>966</v>
      </c>
      <c r="C42" s="149" t="s">
        <v>624</v>
      </c>
      <c r="D42" s="23"/>
    </row>
    <row r="43" spans="1:4" ht="16.5">
      <c r="A43" s="143" t="s">
        <v>29</v>
      </c>
      <c r="B43" s="144" t="s">
        <v>968</v>
      </c>
      <c r="C43" s="149" t="s">
        <v>625</v>
      </c>
      <c r="D43" s="23"/>
    </row>
    <row r="44" spans="1:4" ht="16.5">
      <c r="A44" s="143" t="s">
        <v>148</v>
      </c>
      <c r="B44" s="144" t="s">
        <v>966</v>
      </c>
      <c r="C44" s="149" t="s">
        <v>626</v>
      </c>
      <c r="D44" s="23"/>
    </row>
    <row r="45" spans="1:4" ht="16.5">
      <c r="A45" s="143" t="s">
        <v>150</v>
      </c>
      <c r="B45" s="144" t="s">
        <v>966</v>
      </c>
      <c r="C45" s="149" t="s">
        <v>979</v>
      </c>
      <c r="D45" s="23"/>
    </row>
    <row r="46" spans="1:4" ht="16.5">
      <c r="A46" s="143" t="s">
        <v>133</v>
      </c>
      <c r="B46" s="144" t="s">
        <v>968</v>
      </c>
      <c r="C46" s="149" t="s">
        <v>980</v>
      </c>
      <c r="D46" s="23"/>
    </row>
    <row r="47" spans="1:4" ht="16.5">
      <c r="A47" s="143" t="s">
        <v>134</v>
      </c>
      <c r="B47" s="144" t="s">
        <v>966</v>
      </c>
      <c r="C47" s="149" t="s">
        <v>627</v>
      </c>
      <c r="D47" s="23"/>
    </row>
    <row r="48" spans="1:4" ht="16.5">
      <c r="A48" s="143" t="s">
        <v>136</v>
      </c>
      <c r="B48" s="144" t="s">
        <v>967</v>
      </c>
      <c r="C48" s="149" t="s">
        <v>628</v>
      </c>
      <c r="D48" s="23"/>
    </row>
    <row r="49" spans="1:4" ht="16.5">
      <c r="A49" s="143" t="s">
        <v>138</v>
      </c>
      <c r="B49" s="144" t="s">
        <v>967</v>
      </c>
      <c r="C49" s="149" t="s">
        <v>629</v>
      </c>
      <c r="D49" s="23"/>
    </row>
    <row r="50" spans="1:4" ht="16.5">
      <c r="A50" s="143" t="s">
        <v>140</v>
      </c>
      <c r="B50" s="144" t="s">
        <v>965</v>
      </c>
      <c r="C50" s="149" t="s">
        <v>630</v>
      </c>
      <c r="D50" s="23"/>
    </row>
    <row r="51" spans="1:4" ht="16.5">
      <c r="A51" s="143" t="s">
        <v>142</v>
      </c>
      <c r="B51" s="144" t="s">
        <v>973</v>
      </c>
      <c r="C51" s="149" t="s">
        <v>981</v>
      </c>
      <c r="D51" s="23"/>
    </row>
    <row r="52" spans="1:4" ht="16.5">
      <c r="A52" s="143" t="s">
        <v>143</v>
      </c>
      <c r="B52" s="144" t="s">
        <v>967</v>
      </c>
      <c r="C52" s="149" t="s">
        <v>631</v>
      </c>
      <c r="D52" s="23"/>
    </row>
    <row r="53" spans="1:4" ht="16.5">
      <c r="A53" s="143" t="s">
        <v>12</v>
      </c>
      <c r="B53" s="145" t="s">
        <v>972</v>
      </c>
      <c r="C53" s="149" t="s">
        <v>632</v>
      </c>
      <c r="D53" s="23"/>
    </row>
    <row r="54" spans="1:4" ht="16.5">
      <c r="A54" s="143" t="s">
        <v>145</v>
      </c>
      <c r="B54" s="145" t="s">
        <v>966</v>
      </c>
      <c r="C54" s="149" t="s">
        <v>633</v>
      </c>
      <c r="D54" s="23"/>
    </row>
    <row r="55" spans="1:4" ht="16.5">
      <c r="A55" s="143" t="s">
        <v>402</v>
      </c>
      <c r="B55" s="144" t="s">
        <v>966</v>
      </c>
      <c r="C55" s="149" t="s">
        <v>634</v>
      </c>
      <c r="D55" s="23"/>
    </row>
    <row r="56" spans="1:4" ht="16.5">
      <c r="A56" s="143" t="s">
        <v>404</v>
      </c>
      <c r="B56" s="144" t="s">
        <v>966</v>
      </c>
      <c r="C56" s="149" t="s">
        <v>635</v>
      </c>
      <c r="D56" s="23"/>
    </row>
    <row r="57" spans="1:4" ht="16.5">
      <c r="A57" s="143" t="s">
        <v>406</v>
      </c>
      <c r="B57" s="145" t="s">
        <v>971</v>
      </c>
      <c r="C57" s="149" t="s">
        <v>636</v>
      </c>
      <c r="D57" s="23"/>
    </row>
    <row r="58" spans="1:4" ht="16.5">
      <c r="A58" s="143" t="s">
        <v>224</v>
      </c>
      <c r="B58" s="144" t="s">
        <v>967</v>
      </c>
      <c r="C58" s="149" t="s">
        <v>637</v>
      </c>
      <c r="D58" s="23"/>
    </row>
    <row r="59" spans="1:4" ht="16.5">
      <c r="A59" s="143" t="s">
        <v>226</v>
      </c>
      <c r="B59" s="144" t="s">
        <v>966</v>
      </c>
      <c r="C59" s="149" t="s">
        <v>638</v>
      </c>
      <c r="D59" s="23"/>
    </row>
    <row r="60" spans="1:4" ht="16.5">
      <c r="A60" s="143" t="s">
        <v>228</v>
      </c>
      <c r="B60" s="144" t="s">
        <v>968</v>
      </c>
      <c r="C60" s="149" t="s">
        <v>900</v>
      </c>
      <c r="D60" s="23"/>
    </row>
    <row r="61" spans="1:4" ht="16.5">
      <c r="A61" s="143" t="s">
        <v>355</v>
      </c>
      <c r="B61" s="144" t="s">
        <v>966</v>
      </c>
      <c r="C61" s="149" t="s">
        <v>639</v>
      </c>
      <c r="D61" s="23"/>
    </row>
    <row r="62" spans="1:4" ht="16.5">
      <c r="A62" s="143" t="s">
        <v>357</v>
      </c>
      <c r="B62" s="145" t="s">
        <v>969</v>
      </c>
      <c r="C62" s="149" t="s">
        <v>640</v>
      </c>
      <c r="D62" s="23"/>
    </row>
    <row r="63" spans="1:4" ht="16.5">
      <c r="A63" s="143" t="s">
        <v>359</v>
      </c>
      <c r="B63" s="144" t="s">
        <v>968</v>
      </c>
      <c r="C63" s="149" t="s">
        <v>901</v>
      </c>
      <c r="D63" s="23"/>
    </row>
    <row r="64" spans="1:4" ht="16.5">
      <c r="A64" s="143" t="s">
        <v>230</v>
      </c>
      <c r="B64" s="144" t="s">
        <v>966</v>
      </c>
      <c r="C64" s="149" t="s">
        <v>982</v>
      </c>
      <c r="D64" s="23"/>
    </row>
    <row r="65" spans="1:4" ht="16.5">
      <c r="A65" s="143" t="s">
        <v>231</v>
      </c>
      <c r="B65" s="144" t="s">
        <v>971</v>
      </c>
      <c r="C65" s="149" t="s">
        <v>983</v>
      </c>
      <c r="D65" s="23"/>
    </row>
    <row r="66" spans="1:4" ht="16.5">
      <c r="A66" s="143" t="s">
        <v>232</v>
      </c>
      <c r="B66" s="144" t="s">
        <v>973</v>
      </c>
      <c r="C66" s="149" t="s">
        <v>641</v>
      </c>
      <c r="D66" s="23"/>
    </row>
    <row r="67" spans="1:4" ht="16.5">
      <c r="A67" s="143" t="s">
        <v>234</v>
      </c>
      <c r="B67" s="144" t="s">
        <v>971</v>
      </c>
      <c r="C67" s="149" t="s">
        <v>642</v>
      </c>
      <c r="D67" s="23"/>
    </row>
    <row r="68" spans="1:4" ht="16.5">
      <c r="A68" s="143" t="s">
        <v>236</v>
      </c>
      <c r="B68" s="144" t="s">
        <v>969</v>
      </c>
      <c r="C68" s="149" t="s">
        <v>643</v>
      </c>
      <c r="D68" s="23"/>
    </row>
    <row r="69" spans="1:4" ht="16.5">
      <c r="A69" s="143" t="s">
        <v>238</v>
      </c>
      <c r="B69" s="144" t="s">
        <v>967</v>
      </c>
      <c r="C69" s="149" t="s">
        <v>644</v>
      </c>
      <c r="D69" s="23"/>
    </row>
    <row r="70" spans="1:4" ht="16.5">
      <c r="A70" s="143" t="s">
        <v>240</v>
      </c>
      <c r="B70" s="144" t="s">
        <v>971</v>
      </c>
      <c r="C70" s="149" t="s">
        <v>645</v>
      </c>
      <c r="D70" s="23"/>
    </row>
    <row r="71" spans="1:4" ht="16.5">
      <c r="A71" s="143" t="s">
        <v>409</v>
      </c>
      <c r="B71" s="144" t="s">
        <v>965</v>
      </c>
      <c r="C71" s="149" t="s">
        <v>646</v>
      </c>
      <c r="D71" s="23"/>
    </row>
    <row r="72" spans="1:4" ht="16.5">
      <c r="A72" s="143" t="s">
        <v>411</v>
      </c>
      <c r="B72" s="144" t="s">
        <v>966</v>
      </c>
      <c r="C72" s="149" t="s">
        <v>647</v>
      </c>
      <c r="D72" s="23"/>
    </row>
    <row r="73" spans="1:4" ht="16.5">
      <c r="A73" s="143" t="s">
        <v>413</v>
      </c>
      <c r="B73" s="144" t="s">
        <v>973</v>
      </c>
      <c r="C73" s="149" t="s">
        <v>648</v>
      </c>
      <c r="D73" s="23"/>
    </row>
    <row r="74" spans="1:4" ht="16.5">
      <c r="A74" s="143" t="s">
        <v>415</v>
      </c>
      <c r="B74" s="144" t="s">
        <v>969</v>
      </c>
      <c r="C74" s="149" t="s">
        <v>649</v>
      </c>
      <c r="D74" s="23"/>
    </row>
    <row r="75" spans="1:4" ht="16.5">
      <c r="A75" s="143" t="s">
        <v>417</v>
      </c>
      <c r="B75" s="144" t="s">
        <v>973</v>
      </c>
      <c r="C75" s="149" t="s">
        <v>650</v>
      </c>
      <c r="D75" s="23"/>
    </row>
    <row r="76" spans="1:4" ht="16.5">
      <c r="A76" s="145" t="s">
        <v>941</v>
      </c>
      <c r="B76" s="144" t="s">
        <v>970</v>
      </c>
      <c r="C76" s="149" t="s">
        <v>869</v>
      </c>
      <c r="D76" s="23"/>
    </row>
    <row r="77" spans="1:4" ht="16.5">
      <c r="A77" s="143" t="s">
        <v>419</v>
      </c>
      <c r="B77" s="144" t="s">
        <v>965</v>
      </c>
      <c r="C77" s="149" t="s">
        <v>651</v>
      </c>
      <c r="D77" s="23"/>
    </row>
    <row r="78" spans="1:4" ht="16.5">
      <c r="A78" s="143" t="s">
        <v>513</v>
      </c>
      <c r="B78" s="144" t="s">
        <v>967</v>
      </c>
      <c r="C78" s="149" t="s">
        <v>652</v>
      </c>
      <c r="D78" s="23"/>
    </row>
    <row r="79" spans="1:4" ht="16.5">
      <c r="A79" s="143" t="s">
        <v>515</v>
      </c>
      <c r="B79" s="144" t="s">
        <v>970</v>
      </c>
      <c r="C79" s="149" t="s">
        <v>984</v>
      </c>
      <c r="D79" s="23"/>
    </row>
    <row r="80" spans="1:4" ht="16.5">
      <c r="A80" s="143" t="s">
        <v>516</v>
      </c>
      <c r="B80" s="144" t="s">
        <v>966</v>
      </c>
      <c r="C80" s="149" t="s">
        <v>985</v>
      </c>
      <c r="D80" s="23"/>
    </row>
    <row r="81" spans="1:4" ht="16.5">
      <c r="A81" s="143" t="s">
        <v>517</v>
      </c>
      <c r="B81" s="144" t="s">
        <v>969</v>
      </c>
      <c r="C81" s="149" t="s">
        <v>653</v>
      </c>
      <c r="D81" s="23"/>
    </row>
    <row r="82" spans="1:4" ht="16.5">
      <c r="A82" s="143" t="s">
        <v>420</v>
      </c>
      <c r="B82" s="144" t="s">
        <v>967</v>
      </c>
      <c r="C82" s="149" t="s">
        <v>654</v>
      </c>
      <c r="D82" s="23"/>
    </row>
    <row r="83" spans="1:4" ht="16.5">
      <c r="A83" s="143" t="s">
        <v>422</v>
      </c>
      <c r="B83" s="144" t="s">
        <v>969</v>
      </c>
      <c r="C83" s="149" t="s">
        <v>655</v>
      </c>
      <c r="D83" s="23"/>
    </row>
    <row r="84" spans="1:4" ht="16.5">
      <c r="A84" s="143" t="s">
        <v>424</v>
      </c>
      <c r="B84" s="144" t="s">
        <v>968</v>
      </c>
      <c r="C84" s="149" t="s">
        <v>656</v>
      </c>
      <c r="D84" s="23"/>
    </row>
    <row r="85" spans="1:4" ht="16.5">
      <c r="A85" s="143" t="s">
        <v>426</v>
      </c>
      <c r="B85" s="144" t="s">
        <v>969</v>
      </c>
      <c r="C85" s="149" t="s">
        <v>657</v>
      </c>
      <c r="D85" s="23"/>
    </row>
    <row r="86" spans="1:4" ht="16.5">
      <c r="A86" s="143" t="s">
        <v>428</v>
      </c>
      <c r="B86" s="144" t="s">
        <v>966</v>
      </c>
      <c r="C86" s="149" t="s">
        <v>658</v>
      </c>
      <c r="D86" s="23"/>
    </row>
    <row r="87" spans="1:4" ht="16.5">
      <c r="A87" s="143" t="s">
        <v>430</v>
      </c>
      <c r="B87" s="144" t="s">
        <v>966</v>
      </c>
      <c r="C87" s="149" t="s">
        <v>659</v>
      </c>
      <c r="D87" s="23"/>
    </row>
    <row r="88" spans="1:4" ht="16.5">
      <c r="A88" s="143" t="s">
        <v>432</v>
      </c>
      <c r="B88" s="144" t="s">
        <v>970</v>
      </c>
      <c r="C88" s="149" t="s">
        <v>902</v>
      </c>
      <c r="D88" s="23"/>
    </row>
    <row r="89" spans="1:4" ht="16.5">
      <c r="A89" s="143" t="s">
        <v>434</v>
      </c>
      <c r="B89" s="144" t="s">
        <v>971</v>
      </c>
      <c r="C89" s="149" t="s">
        <v>903</v>
      </c>
      <c r="D89" s="23"/>
    </row>
    <row r="90" spans="1:4" ht="16.5">
      <c r="A90" s="143" t="s">
        <v>436</v>
      </c>
      <c r="B90" s="144" t="s">
        <v>973</v>
      </c>
      <c r="C90" s="149" t="s">
        <v>660</v>
      </c>
      <c r="D90" s="23"/>
    </row>
    <row r="91" spans="1:4" ht="16.5">
      <c r="A91" s="143" t="s">
        <v>219</v>
      </c>
      <c r="B91" s="144" t="s">
        <v>971</v>
      </c>
      <c r="C91" s="149" t="s">
        <v>661</v>
      </c>
      <c r="D91" s="23"/>
    </row>
    <row r="92" spans="1:4" ht="16.5">
      <c r="A92" s="143" t="s">
        <v>221</v>
      </c>
      <c r="B92" s="144" t="s">
        <v>971</v>
      </c>
      <c r="C92" s="149" t="s">
        <v>662</v>
      </c>
      <c r="D92" s="23"/>
    </row>
    <row r="93" spans="1:4" ht="16.5">
      <c r="A93" s="143" t="s">
        <v>313</v>
      </c>
      <c r="B93" s="144" t="s">
        <v>967</v>
      </c>
      <c r="C93" s="149" t="s">
        <v>663</v>
      </c>
      <c r="D93" s="23"/>
    </row>
    <row r="94" spans="1:4" ht="16.5">
      <c r="A94" s="143" t="s">
        <v>439</v>
      </c>
      <c r="B94" s="144" t="s">
        <v>965</v>
      </c>
      <c r="C94" s="149" t="s">
        <v>664</v>
      </c>
      <c r="D94" s="23"/>
    </row>
    <row r="95" spans="1:4" ht="16.5">
      <c r="A95" s="143" t="s">
        <v>441</v>
      </c>
      <c r="B95" s="145" t="s">
        <v>966</v>
      </c>
      <c r="C95" s="149" t="s">
        <v>665</v>
      </c>
      <c r="D95" s="23"/>
    </row>
    <row r="96" spans="1:4" ht="16.5">
      <c r="A96" s="143" t="s">
        <v>443</v>
      </c>
      <c r="B96" s="144" t="s">
        <v>970</v>
      </c>
      <c r="C96" s="149" t="s">
        <v>904</v>
      </c>
      <c r="D96" s="23"/>
    </row>
    <row r="97" spans="1:4" ht="16.5">
      <c r="A97" s="143" t="s">
        <v>445</v>
      </c>
      <c r="B97" s="144" t="s">
        <v>965</v>
      </c>
      <c r="C97" s="149" t="s">
        <v>666</v>
      </c>
      <c r="D97" s="23"/>
    </row>
    <row r="98" spans="1:4" ht="16.5">
      <c r="A98" s="147" t="s">
        <v>447</v>
      </c>
      <c r="B98" s="145" t="s">
        <v>966</v>
      </c>
      <c r="C98" s="149" t="s">
        <v>667</v>
      </c>
      <c r="D98" s="23"/>
    </row>
    <row r="99" spans="1:4" ht="16.5">
      <c r="A99" s="143" t="s">
        <v>449</v>
      </c>
      <c r="B99" s="144" t="s">
        <v>971</v>
      </c>
      <c r="C99" s="149" t="s">
        <v>668</v>
      </c>
      <c r="D99" s="23"/>
    </row>
    <row r="100" spans="1:4" ht="16.5">
      <c r="A100" s="143" t="s">
        <v>332</v>
      </c>
      <c r="B100" s="144" t="s">
        <v>969</v>
      </c>
      <c r="C100" s="149" t="s">
        <v>669</v>
      </c>
      <c r="D100" s="23"/>
    </row>
    <row r="101" spans="1:4" ht="16.5">
      <c r="A101" s="143" t="s">
        <v>334</v>
      </c>
      <c r="B101" s="144" t="s">
        <v>970</v>
      </c>
      <c r="C101" s="149" t="s">
        <v>670</v>
      </c>
      <c r="D101" s="23"/>
    </row>
    <row r="102" spans="1:4" ht="16.5">
      <c r="A102" s="143" t="s">
        <v>336</v>
      </c>
      <c r="B102" s="144" t="s">
        <v>965</v>
      </c>
      <c r="C102" s="149" t="s">
        <v>671</v>
      </c>
      <c r="D102" s="23"/>
    </row>
    <row r="103" spans="1:4" ht="16.5">
      <c r="A103" s="143" t="s">
        <v>338</v>
      </c>
      <c r="B103" s="144" t="s">
        <v>965</v>
      </c>
      <c r="C103" s="149" t="s">
        <v>672</v>
      </c>
      <c r="D103" s="23"/>
    </row>
    <row r="104" spans="1:4" ht="16.5">
      <c r="A104" s="146" t="s">
        <v>1509</v>
      </c>
      <c r="B104" s="144" t="s">
        <v>969</v>
      </c>
      <c r="C104" s="149" t="s">
        <v>1510</v>
      </c>
      <c r="D104" s="23"/>
    </row>
    <row r="105" spans="1:4" ht="16.5">
      <c r="A105" s="146" t="s">
        <v>964</v>
      </c>
      <c r="B105" s="144" t="s">
        <v>969</v>
      </c>
      <c r="C105" s="149" t="s">
        <v>1511</v>
      </c>
      <c r="D105" s="23"/>
    </row>
    <row r="106" spans="1:4" ht="16.5">
      <c r="A106" s="146" t="s">
        <v>1051</v>
      </c>
      <c r="B106" s="144" t="s">
        <v>969</v>
      </c>
      <c r="C106" s="149" t="s">
        <v>1512</v>
      </c>
      <c r="D106" s="23"/>
    </row>
    <row r="107" spans="1:4" ht="16.5">
      <c r="A107" s="143" t="s">
        <v>340</v>
      </c>
      <c r="B107" s="144" t="s">
        <v>966</v>
      </c>
      <c r="C107" s="149" t="s">
        <v>673</v>
      </c>
      <c r="D107" s="23"/>
    </row>
    <row r="108" spans="1:4" ht="16.5">
      <c r="A108" s="143" t="s">
        <v>342</v>
      </c>
      <c r="B108" s="145" t="s">
        <v>967</v>
      </c>
      <c r="C108" s="149" t="s">
        <v>674</v>
      </c>
      <c r="D108" s="23"/>
    </row>
    <row r="109" spans="1:4" ht="16.5">
      <c r="A109" s="146" t="s">
        <v>958</v>
      </c>
      <c r="B109" s="144" t="s">
        <v>968</v>
      </c>
      <c r="C109" s="149" t="s">
        <v>1513</v>
      </c>
      <c r="D109" s="23"/>
    </row>
    <row r="110" spans="1:4" ht="16.5">
      <c r="A110" s="143" t="s">
        <v>344</v>
      </c>
      <c r="B110" s="144" t="s">
        <v>969</v>
      </c>
      <c r="C110" s="149" t="s">
        <v>675</v>
      </c>
      <c r="D110" s="23"/>
    </row>
    <row r="111" spans="1:4" s="23" customFormat="1" ht="16.5">
      <c r="A111" s="143" t="s">
        <v>346</v>
      </c>
      <c r="B111" s="144" t="s">
        <v>968</v>
      </c>
      <c r="C111" s="149" t="s">
        <v>905</v>
      </c>
    </row>
    <row r="112" spans="1:4" ht="16.5">
      <c r="A112" s="143" t="s">
        <v>452</v>
      </c>
      <c r="B112" s="144" t="s">
        <v>970</v>
      </c>
      <c r="C112" s="149" t="s">
        <v>906</v>
      </c>
      <c r="D112" s="23"/>
    </row>
    <row r="113" spans="1:4" ht="16.5">
      <c r="A113" s="143" t="s">
        <v>454</v>
      </c>
      <c r="B113" s="145" t="s">
        <v>966</v>
      </c>
      <c r="C113" s="149" t="s">
        <v>676</v>
      </c>
      <c r="D113" s="23"/>
    </row>
    <row r="114" spans="1:4" ht="16.5">
      <c r="A114" s="143" t="s">
        <v>456</v>
      </c>
      <c r="B114" s="144" t="s">
        <v>970</v>
      </c>
      <c r="C114" s="149" t="s">
        <v>677</v>
      </c>
      <c r="D114" s="23"/>
    </row>
    <row r="115" spans="1:4" ht="16.5">
      <c r="A115" s="143" t="s">
        <v>458</v>
      </c>
      <c r="B115" s="144" t="s">
        <v>968</v>
      </c>
      <c r="C115" s="149" t="s">
        <v>678</v>
      </c>
      <c r="D115" s="23"/>
    </row>
    <row r="116" spans="1:4" ht="16.5">
      <c r="A116" s="143" t="s">
        <v>460</v>
      </c>
      <c r="B116" s="144" t="s">
        <v>969</v>
      </c>
      <c r="C116" s="149" t="s">
        <v>679</v>
      </c>
      <c r="D116" s="23"/>
    </row>
    <row r="117" spans="1:4" ht="16.5">
      <c r="A117" s="146" t="s">
        <v>479</v>
      </c>
      <c r="B117" s="144" t="s">
        <v>966</v>
      </c>
      <c r="C117" s="149" t="s">
        <v>680</v>
      </c>
      <c r="D117" s="23"/>
    </row>
    <row r="118" spans="1:4" ht="16.5">
      <c r="A118" s="143" t="s">
        <v>481</v>
      </c>
      <c r="B118" s="144" t="s">
        <v>968</v>
      </c>
      <c r="C118" s="149" t="s">
        <v>986</v>
      </c>
      <c r="D118" s="23"/>
    </row>
    <row r="119" spans="1:4" ht="16.5">
      <c r="A119" s="143" t="s">
        <v>482</v>
      </c>
      <c r="B119" s="144" t="s">
        <v>971</v>
      </c>
      <c r="C119" s="149" t="s">
        <v>681</v>
      </c>
      <c r="D119" s="23"/>
    </row>
    <row r="120" spans="1:4" ht="16.5">
      <c r="A120" s="143" t="s">
        <v>293</v>
      </c>
      <c r="B120" s="144" t="s">
        <v>970</v>
      </c>
      <c r="C120" s="149" t="s">
        <v>907</v>
      </c>
      <c r="D120" s="23"/>
    </row>
    <row r="121" spans="1:4" ht="16.5">
      <c r="A121" s="143" t="s">
        <v>121</v>
      </c>
      <c r="B121" s="144" t="s">
        <v>970</v>
      </c>
      <c r="C121" s="149" t="s">
        <v>682</v>
      </c>
      <c r="D121" s="23"/>
    </row>
    <row r="122" spans="1:4" ht="16.5">
      <c r="A122" s="143" t="s">
        <v>295</v>
      </c>
      <c r="B122" s="144" t="s">
        <v>967</v>
      </c>
      <c r="C122" s="149" t="s">
        <v>683</v>
      </c>
      <c r="D122" s="23"/>
    </row>
    <row r="123" spans="1:4" ht="16.5">
      <c r="A123" s="143" t="s">
        <v>123</v>
      </c>
      <c r="B123" s="145" t="s">
        <v>966</v>
      </c>
      <c r="C123" s="149" t="s">
        <v>987</v>
      </c>
      <c r="D123" s="23"/>
    </row>
    <row r="124" spans="1:4" ht="16.5">
      <c r="A124" s="143" t="s">
        <v>124</v>
      </c>
      <c r="B124" s="144" t="s">
        <v>973</v>
      </c>
      <c r="C124" s="149" t="s">
        <v>685</v>
      </c>
      <c r="D124" s="23"/>
    </row>
    <row r="125" spans="1:4" ht="16.5">
      <c r="A125" s="143" t="s">
        <v>245</v>
      </c>
      <c r="B125" s="144" t="s">
        <v>965</v>
      </c>
      <c r="C125" s="149" t="s">
        <v>908</v>
      </c>
      <c r="D125" s="23"/>
    </row>
    <row r="126" spans="1:4" ht="16.5">
      <c r="A126" s="143" t="s">
        <v>126</v>
      </c>
      <c r="B126" s="144" t="s">
        <v>967</v>
      </c>
      <c r="C126" s="149" t="s">
        <v>686</v>
      </c>
      <c r="D126" s="23"/>
    </row>
    <row r="127" spans="1:4" ht="16.5">
      <c r="A127" s="143" t="s">
        <v>128</v>
      </c>
      <c r="B127" s="144" t="s">
        <v>969</v>
      </c>
      <c r="C127" s="149" t="s">
        <v>687</v>
      </c>
      <c r="D127" s="23"/>
    </row>
    <row r="128" spans="1:4" ht="16.5">
      <c r="A128" s="143" t="s">
        <v>130</v>
      </c>
      <c r="B128" s="144" t="s">
        <v>967</v>
      </c>
      <c r="C128" s="149" t="s">
        <v>688</v>
      </c>
      <c r="D128" s="23"/>
    </row>
    <row r="129" spans="1:4" ht="16.5">
      <c r="A129" s="143" t="s">
        <v>132</v>
      </c>
      <c r="B129" s="144" t="s">
        <v>966</v>
      </c>
      <c r="C129" s="149" t="s">
        <v>689</v>
      </c>
      <c r="D129" s="23"/>
    </row>
    <row r="130" spans="1:4" ht="16.5">
      <c r="A130" s="143" t="s">
        <v>462</v>
      </c>
      <c r="B130" s="144" t="s">
        <v>966</v>
      </c>
      <c r="C130" s="149" t="s">
        <v>690</v>
      </c>
      <c r="D130" s="23"/>
    </row>
    <row r="131" spans="1:4" ht="16.5">
      <c r="A131" s="143" t="s">
        <v>464</v>
      </c>
      <c r="B131" s="144" t="s">
        <v>966</v>
      </c>
      <c r="C131" s="149" t="s">
        <v>691</v>
      </c>
      <c r="D131" s="23"/>
    </row>
    <row r="132" spans="1:4" ht="16.5">
      <c r="A132" s="143" t="s">
        <v>466</v>
      </c>
      <c r="B132" s="144" t="s">
        <v>970</v>
      </c>
      <c r="C132" s="149" t="s">
        <v>692</v>
      </c>
      <c r="D132" s="23"/>
    </row>
    <row r="133" spans="1:4" ht="16.5">
      <c r="A133" s="143" t="s">
        <v>468</v>
      </c>
      <c r="B133" s="145" t="s">
        <v>966</v>
      </c>
      <c r="C133" s="149" t="s">
        <v>693</v>
      </c>
      <c r="D133" s="23"/>
    </row>
    <row r="134" spans="1:4" ht="16.5">
      <c r="A134" s="143" t="s">
        <v>470</v>
      </c>
      <c r="B134" s="144" t="s">
        <v>967</v>
      </c>
      <c r="C134" s="149" t="s">
        <v>988</v>
      </c>
      <c r="D134" s="23"/>
    </row>
    <row r="135" spans="1:4" ht="16.5">
      <c r="A135" s="146" t="s">
        <v>1052</v>
      </c>
      <c r="B135" s="144" t="s">
        <v>966</v>
      </c>
      <c r="C135" s="149" t="s">
        <v>1514</v>
      </c>
      <c r="D135" s="23"/>
    </row>
    <row r="136" spans="1:4" ht="16.5">
      <c r="A136" s="143" t="s">
        <v>486</v>
      </c>
      <c r="B136" s="144" t="s">
        <v>970</v>
      </c>
      <c r="C136" s="149" t="s">
        <v>909</v>
      </c>
      <c r="D136" s="23"/>
    </row>
    <row r="137" spans="1:4" ht="16.5">
      <c r="A137" s="143" t="s">
        <v>488</v>
      </c>
      <c r="B137" s="144" t="s">
        <v>967</v>
      </c>
      <c r="C137" s="149" t="s">
        <v>694</v>
      </c>
      <c r="D137" s="23"/>
    </row>
    <row r="138" spans="1:4" ht="16.5">
      <c r="A138" s="143" t="s">
        <v>490</v>
      </c>
      <c r="B138" s="144" t="s">
        <v>971</v>
      </c>
      <c r="C138" s="149" t="s">
        <v>695</v>
      </c>
      <c r="D138" s="23"/>
    </row>
    <row r="139" spans="1:4" ht="16.5">
      <c r="A139" s="143" t="s">
        <v>492</v>
      </c>
      <c r="B139" s="144" t="s">
        <v>973</v>
      </c>
      <c r="C139" s="149" t="s">
        <v>696</v>
      </c>
      <c r="D139" s="23"/>
    </row>
    <row r="140" spans="1:4" ht="16.5">
      <c r="A140" s="143" t="s">
        <v>494</v>
      </c>
      <c r="B140" s="144" t="s">
        <v>973</v>
      </c>
      <c r="C140" s="149" t="s">
        <v>697</v>
      </c>
      <c r="D140" s="23"/>
    </row>
    <row r="141" spans="1:4" ht="16.5">
      <c r="A141" s="143" t="s">
        <v>496</v>
      </c>
      <c r="B141" s="144" t="s">
        <v>965</v>
      </c>
      <c r="C141" s="149" t="s">
        <v>851</v>
      </c>
      <c r="D141" s="23"/>
    </row>
    <row r="142" spans="1:4" ht="16.5">
      <c r="A142" s="143" t="s">
        <v>497</v>
      </c>
      <c r="B142" s="144" t="s">
        <v>966</v>
      </c>
      <c r="C142" s="149" t="s">
        <v>698</v>
      </c>
      <c r="D142" s="23"/>
    </row>
    <row r="143" spans="1:4" ht="16.5">
      <c r="A143" s="143" t="s">
        <v>499</v>
      </c>
      <c r="B143" s="144" t="s">
        <v>967</v>
      </c>
      <c r="C143" s="149" t="s">
        <v>699</v>
      </c>
      <c r="D143" s="23"/>
    </row>
    <row r="144" spans="1:4" ht="16.5">
      <c r="A144" s="143" t="s">
        <v>38</v>
      </c>
      <c r="B144" s="144" t="s">
        <v>965</v>
      </c>
      <c r="C144" s="149" t="s">
        <v>990</v>
      </c>
      <c r="D144" s="23"/>
    </row>
    <row r="145" spans="1:4" ht="16.5">
      <c r="A145" s="143" t="s">
        <v>39</v>
      </c>
      <c r="B145" s="144" t="s">
        <v>966</v>
      </c>
      <c r="C145" s="149" t="s">
        <v>700</v>
      </c>
      <c r="D145" s="23"/>
    </row>
    <row r="146" spans="1:4" ht="16.5">
      <c r="A146" s="143" t="s">
        <v>41</v>
      </c>
      <c r="B146" s="144" t="s">
        <v>966</v>
      </c>
      <c r="C146" s="149" t="s">
        <v>701</v>
      </c>
      <c r="D146" s="23"/>
    </row>
    <row r="147" spans="1:4" ht="16.5">
      <c r="A147" s="143" t="s">
        <v>43</v>
      </c>
      <c r="B147" s="144" t="s">
        <v>969</v>
      </c>
      <c r="C147" s="149" t="s">
        <v>702</v>
      </c>
      <c r="D147" s="23"/>
    </row>
    <row r="148" spans="1:4" ht="16.5">
      <c r="A148" s="143" t="s">
        <v>45</v>
      </c>
      <c r="B148" s="144" t="s">
        <v>967</v>
      </c>
      <c r="C148" s="149" t="s">
        <v>703</v>
      </c>
      <c r="D148" s="23"/>
    </row>
    <row r="149" spans="1:4" ht="16.5">
      <c r="A149" s="143" t="s">
        <v>47</v>
      </c>
      <c r="B149" s="144" t="s">
        <v>973</v>
      </c>
      <c r="C149" s="149" t="s">
        <v>910</v>
      </c>
      <c r="D149" s="23"/>
    </row>
    <row r="150" spans="1:4" ht="16.5">
      <c r="A150" s="143" t="s">
        <v>69</v>
      </c>
      <c r="B150" s="144" t="s">
        <v>970</v>
      </c>
      <c r="C150" s="149" t="s">
        <v>911</v>
      </c>
      <c r="D150" s="23"/>
    </row>
    <row r="151" spans="1:4" ht="16.5">
      <c r="A151" s="143" t="s">
        <v>71</v>
      </c>
      <c r="B151" s="144" t="s">
        <v>967</v>
      </c>
      <c r="C151" s="149" t="s">
        <v>704</v>
      </c>
      <c r="D151" s="23"/>
    </row>
    <row r="152" spans="1:4" ht="16.5">
      <c r="A152" s="143" t="s">
        <v>73</v>
      </c>
      <c r="B152" s="144" t="s">
        <v>965</v>
      </c>
      <c r="C152" s="149" t="s">
        <v>705</v>
      </c>
      <c r="D152" s="23"/>
    </row>
    <row r="153" spans="1:4" ht="16.5">
      <c r="A153" s="143" t="s">
        <v>75</v>
      </c>
      <c r="B153" s="144" t="s">
        <v>965</v>
      </c>
      <c r="C153" s="149" t="s">
        <v>706</v>
      </c>
      <c r="D153" s="23"/>
    </row>
    <row r="154" spans="1:4" ht="16.5">
      <c r="A154" s="143" t="s">
        <v>205</v>
      </c>
      <c r="B154" s="144" t="s">
        <v>973</v>
      </c>
      <c r="C154" s="149" t="s">
        <v>707</v>
      </c>
      <c r="D154" s="23"/>
    </row>
    <row r="155" spans="1:4" ht="16.5">
      <c r="A155" s="143" t="s">
        <v>207</v>
      </c>
      <c r="B155" s="144" t="s">
        <v>965</v>
      </c>
      <c r="C155" s="149" t="s">
        <v>708</v>
      </c>
      <c r="D155" s="23"/>
    </row>
    <row r="156" spans="1:4" ht="16.5">
      <c r="A156" s="143" t="s">
        <v>209</v>
      </c>
      <c r="B156" s="144" t="s">
        <v>971</v>
      </c>
      <c r="C156" s="149" t="s">
        <v>709</v>
      </c>
      <c r="D156" s="23"/>
    </row>
    <row r="157" spans="1:4" ht="16.5">
      <c r="A157" s="143" t="s">
        <v>211</v>
      </c>
      <c r="B157" s="144" t="s">
        <v>967</v>
      </c>
      <c r="C157" s="149" t="s">
        <v>991</v>
      </c>
      <c r="D157" s="23"/>
    </row>
    <row r="158" spans="1:4" ht="16.5">
      <c r="A158" s="143" t="s">
        <v>87</v>
      </c>
      <c r="B158" s="144" t="s">
        <v>970</v>
      </c>
      <c r="C158" s="149" t="s">
        <v>912</v>
      </c>
      <c r="D158" s="23"/>
    </row>
    <row r="159" spans="1:4" ht="16.5">
      <c r="A159" s="143" t="s">
        <v>89</v>
      </c>
      <c r="B159" s="144" t="s">
        <v>967</v>
      </c>
      <c r="C159" s="149" t="s">
        <v>711</v>
      </c>
      <c r="D159" s="23"/>
    </row>
    <row r="160" spans="1:4" ht="16.5">
      <c r="A160" s="146" t="s">
        <v>90</v>
      </c>
      <c r="B160" s="144" t="s">
        <v>967</v>
      </c>
      <c r="C160" s="149" t="s">
        <v>712</v>
      </c>
      <c r="D160" s="23"/>
    </row>
    <row r="161" spans="1:4" ht="16.5">
      <c r="A161" s="143" t="s">
        <v>92</v>
      </c>
      <c r="B161" s="144" t="s">
        <v>971</v>
      </c>
      <c r="C161" s="149" t="s">
        <v>713</v>
      </c>
      <c r="D161" s="23"/>
    </row>
    <row r="162" spans="1:4" ht="16.5">
      <c r="A162" s="143" t="s">
        <v>94</v>
      </c>
      <c r="B162" s="144" t="s">
        <v>965</v>
      </c>
      <c r="C162" s="149" t="s">
        <v>714</v>
      </c>
      <c r="D162" s="23"/>
    </row>
    <row r="163" spans="1:4" ht="16.5">
      <c r="A163" s="143" t="s">
        <v>96</v>
      </c>
      <c r="B163" s="144" t="s">
        <v>970</v>
      </c>
      <c r="C163" s="149" t="s">
        <v>913</v>
      </c>
      <c r="D163" s="23"/>
    </row>
    <row r="164" spans="1:4" ht="16.5">
      <c r="A164" s="143" t="s">
        <v>97</v>
      </c>
      <c r="B164" s="144" t="s">
        <v>973</v>
      </c>
      <c r="C164" s="149" t="s">
        <v>715</v>
      </c>
      <c r="D164" s="23"/>
    </row>
    <row r="165" spans="1:4" ht="16.5">
      <c r="A165" s="143" t="s">
        <v>99</v>
      </c>
      <c r="B165" s="144" t="s">
        <v>966</v>
      </c>
      <c r="C165" s="149" t="s">
        <v>716</v>
      </c>
      <c r="D165" s="23"/>
    </row>
    <row r="166" spans="1:4" ht="16.5">
      <c r="A166" s="143" t="s">
        <v>101</v>
      </c>
      <c r="B166" s="144" t="s">
        <v>966</v>
      </c>
      <c r="C166" s="149" t="s">
        <v>717</v>
      </c>
      <c r="D166" s="23"/>
    </row>
    <row r="167" spans="1:4" ht="16.5">
      <c r="A167" s="143" t="s">
        <v>103</v>
      </c>
      <c r="B167" s="144" t="s">
        <v>967</v>
      </c>
      <c r="C167" s="149" t="s">
        <v>718</v>
      </c>
      <c r="D167" s="23"/>
    </row>
    <row r="168" spans="1:4" ht="16.5">
      <c r="A168" s="143" t="s">
        <v>214</v>
      </c>
      <c r="B168" s="144" t="s">
        <v>965</v>
      </c>
      <c r="C168" s="149" t="s">
        <v>719</v>
      </c>
      <c r="D168" s="23"/>
    </row>
    <row r="169" spans="1:4" ht="16.5">
      <c r="A169" s="143" t="s">
        <v>216</v>
      </c>
      <c r="B169" s="144" t="s">
        <v>968</v>
      </c>
      <c r="C169" s="149" t="s">
        <v>720</v>
      </c>
      <c r="D169" s="23"/>
    </row>
    <row r="170" spans="1:4" ht="16.5">
      <c r="A170" s="143" t="s">
        <v>48</v>
      </c>
      <c r="B170" s="144" t="s">
        <v>972</v>
      </c>
      <c r="C170" s="149" t="s">
        <v>721</v>
      </c>
      <c r="D170" s="23"/>
    </row>
    <row r="171" spans="1:4" ht="16.5">
      <c r="A171" s="143" t="s">
        <v>50</v>
      </c>
      <c r="B171" s="144" t="s">
        <v>972</v>
      </c>
      <c r="C171" s="149" t="s">
        <v>722</v>
      </c>
      <c r="D171" s="23"/>
    </row>
    <row r="172" spans="1:4" ht="16.5">
      <c r="A172" s="143" t="s">
        <v>316</v>
      </c>
      <c r="B172" s="145" t="s">
        <v>965</v>
      </c>
      <c r="C172" s="149" t="s">
        <v>723</v>
      </c>
      <c r="D172" s="23"/>
    </row>
    <row r="173" spans="1:4" ht="16.5">
      <c r="A173" s="143" t="s">
        <v>318</v>
      </c>
      <c r="B173" s="144" t="s">
        <v>965</v>
      </c>
      <c r="C173" s="149" t="s">
        <v>724</v>
      </c>
      <c r="D173" s="23"/>
    </row>
    <row r="174" spans="1:4" ht="16.5">
      <c r="A174" s="143" t="s">
        <v>320</v>
      </c>
      <c r="B174" s="145" t="s">
        <v>966</v>
      </c>
      <c r="C174" s="149" t="s">
        <v>725</v>
      </c>
      <c r="D174" s="23"/>
    </row>
    <row r="175" spans="1:4" ht="16.5">
      <c r="A175" s="143" t="s">
        <v>322</v>
      </c>
      <c r="B175" s="144" t="s">
        <v>969</v>
      </c>
      <c r="C175" s="149" t="s">
        <v>726</v>
      </c>
      <c r="D175" s="23"/>
    </row>
    <row r="176" spans="1:4" ht="16.5">
      <c r="A176" s="143" t="s">
        <v>324</v>
      </c>
      <c r="B176" s="144" t="s">
        <v>967</v>
      </c>
      <c r="C176" s="149" t="s">
        <v>727</v>
      </c>
      <c r="D176" s="23"/>
    </row>
    <row r="177" spans="1:4" ht="16.5">
      <c r="A177" s="143" t="s">
        <v>326</v>
      </c>
      <c r="B177" s="144" t="s">
        <v>966</v>
      </c>
      <c r="C177" s="149" t="s">
        <v>728</v>
      </c>
      <c r="D177" s="23"/>
    </row>
    <row r="178" spans="1:4" ht="16.5">
      <c r="A178" s="143" t="s">
        <v>328</v>
      </c>
      <c r="B178" s="144" t="s">
        <v>965</v>
      </c>
      <c r="C178" s="149" t="s">
        <v>729</v>
      </c>
      <c r="D178" s="23"/>
    </row>
    <row r="179" spans="1:4" ht="16.5">
      <c r="A179" s="143" t="s">
        <v>330</v>
      </c>
      <c r="B179" s="144" t="s">
        <v>970</v>
      </c>
      <c r="C179" s="149" t="s">
        <v>914</v>
      </c>
      <c r="D179" s="23"/>
    </row>
    <row r="180" spans="1:4" ht="16.5">
      <c r="A180" s="143" t="s">
        <v>104</v>
      </c>
      <c r="B180" s="144" t="s">
        <v>965</v>
      </c>
      <c r="C180" s="149" t="s">
        <v>730</v>
      </c>
      <c r="D180" s="23"/>
    </row>
    <row r="181" spans="1:4" ht="16.5">
      <c r="A181" s="143" t="s">
        <v>106</v>
      </c>
      <c r="B181" s="144" t="s">
        <v>966</v>
      </c>
      <c r="C181" s="149" t="s">
        <v>731</v>
      </c>
      <c r="D181" s="23"/>
    </row>
    <row r="182" spans="1:4" ht="16.5">
      <c r="A182" s="143" t="s">
        <v>108</v>
      </c>
      <c r="B182" s="144" t="s">
        <v>973</v>
      </c>
      <c r="C182" s="149" t="s">
        <v>732</v>
      </c>
      <c r="D182" s="23"/>
    </row>
    <row r="183" spans="1:4" ht="16.5">
      <c r="A183" s="143" t="s">
        <v>110</v>
      </c>
      <c r="B183" s="144" t="s">
        <v>965</v>
      </c>
      <c r="C183" s="149" t="s">
        <v>733</v>
      </c>
      <c r="D183" s="23"/>
    </row>
    <row r="184" spans="1:4" ht="16.5">
      <c r="A184" s="143" t="s">
        <v>112</v>
      </c>
      <c r="B184" s="144" t="s">
        <v>973</v>
      </c>
      <c r="C184" s="149" t="s">
        <v>734</v>
      </c>
      <c r="D184" s="23"/>
    </row>
    <row r="185" spans="1:4" ht="16.5">
      <c r="A185" s="143" t="s">
        <v>114</v>
      </c>
      <c r="B185" s="144" t="s">
        <v>965</v>
      </c>
      <c r="C185" s="149" t="s">
        <v>735</v>
      </c>
      <c r="D185" s="23"/>
    </row>
    <row r="186" spans="1:4" ht="16.5">
      <c r="A186" s="143" t="s">
        <v>116</v>
      </c>
      <c r="B186" s="144" t="s">
        <v>966</v>
      </c>
      <c r="C186" s="149" t="s">
        <v>736</v>
      </c>
      <c r="D186" s="23"/>
    </row>
    <row r="187" spans="1:4" ht="16.5">
      <c r="A187" s="143" t="s">
        <v>118</v>
      </c>
      <c r="B187" s="145" t="s">
        <v>967</v>
      </c>
      <c r="C187" s="149" t="s">
        <v>737</v>
      </c>
      <c r="D187" s="23"/>
    </row>
    <row r="188" spans="1:4" ht="16.5">
      <c r="A188" s="143" t="s">
        <v>119</v>
      </c>
      <c r="B188" s="144" t="s">
        <v>966</v>
      </c>
      <c r="C188" s="149" t="s">
        <v>738</v>
      </c>
      <c r="D188" s="23"/>
    </row>
    <row r="189" spans="1:4" ht="16.5">
      <c r="A189" s="143" t="s">
        <v>159</v>
      </c>
      <c r="B189" s="144" t="s">
        <v>966</v>
      </c>
      <c r="C189" s="149" t="s">
        <v>739</v>
      </c>
      <c r="D189" s="23"/>
    </row>
    <row r="190" spans="1:4" ht="16.5">
      <c r="A190" s="143" t="s">
        <v>161</v>
      </c>
      <c r="B190" s="144" t="s">
        <v>973</v>
      </c>
      <c r="C190" s="149" t="s">
        <v>915</v>
      </c>
      <c r="D190" s="23"/>
    </row>
    <row r="191" spans="1:4" ht="16.5">
      <c r="A191" s="143" t="s">
        <v>163</v>
      </c>
      <c r="B191" s="144" t="s">
        <v>973</v>
      </c>
      <c r="C191" s="149" t="s">
        <v>740</v>
      </c>
      <c r="D191" s="23"/>
    </row>
    <row r="192" spans="1:4" ht="16.5">
      <c r="A192" s="146" t="s">
        <v>165</v>
      </c>
      <c r="B192" s="144" t="s">
        <v>969</v>
      </c>
      <c r="C192" s="149" t="s">
        <v>741</v>
      </c>
      <c r="D192" s="23"/>
    </row>
    <row r="193" spans="1:4" ht="16.5">
      <c r="A193" s="143" t="s">
        <v>167</v>
      </c>
      <c r="B193" s="144" t="s">
        <v>968</v>
      </c>
      <c r="C193" s="149" t="s">
        <v>742</v>
      </c>
      <c r="D193" s="23"/>
    </row>
    <row r="194" spans="1:4" ht="16.5">
      <c r="A194" s="143" t="s">
        <v>169</v>
      </c>
      <c r="B194" s="144" t="s">
        <v>973</v>
      </c>
      <c r="C194" s="149" t="s">
        <v>743</v>
      </c>
      <c r="D194" s="23"/>
    </row>
    <row r="195" spans="1:4" ht="16.5">
      <c r="A195" s="143" t="s">
        <v>0</v>
      </c>
      <c r="B195" s="144" t="s">
        <v>966</v>
      </c>
      <c r="C195" s="149" t="s">
        <v>744</v>
      </c>
      <c r="D195" s="23"/>
    </row>
    <row r="196" spans="1:4" ht="16.5">
      <c r="A196" s="143" t="s">
        <v>2</v>
      </c>
      <c r="B196" s="144" t="s">
        <v>968</v>
      </c>
      <c r="C196" s="149" t="s">
        <v>745</v>
      </c>
      <c r="D196" s="23"/>
    </row>
    <row r="197" spans="1:4" ht="16.5">
      <c r="A197" s="143" t="s">
        <v>388</v>
      </c>
      <c r="B197" s="145" t="s">
        <v>973</v>
      </c>
      <c r="C197" s="149" t="s">
        <v>746</v>
      </c>
      <c r="D197" s="23"/>
    </row>
    <row r="198" spans="1:4" ht="16.5">
      <c r="A198" s="143" t="s">
        <v>391</v>
      </c>
      <c r="B198" s="145" t="s">
        <v>968</v>
      </c>
      <c r="C198" s="149" t="s">
        <v>747</v>
      </c>
      <c r="D198" s="23"/>
    </row>
    <row r="199" spans="1:4" ht="16.5">
      <c r="A199" s="143" t="s">
        <v>393</v>
      </c>
      <c r="B199" s="144" t="s">
        <v>965</v>
      </c>
      <c r="C199" s="149" t="s">
        <v>748</v>
      </c>
      <c r="D199" s="23"/>
    </row>
    <row r="200" spans="1:4" ht="16.5">
      <c r="A200" s="143" t="s">
        <v>395</v>
      </c>
      <c r="B200" s="144" t="s">
        <v>969</v>
      </c>
      <c r="C200" s="149" t="s">
        <v>749</v>
      </c>
      <c r="D200" s="23"/>
    </row>
    <row r="201" spans="1:4" ht="16.5">
      <c r="A201" s="146" t="s">
        <v>1515</v>
      </c>
      <c r="B201" s="144" t="s">
        <v>973</v>
      </c>
      <c r="C201" s="149" t="s">
        <v>1516</v>
      </c>
      <c r="D201" s="23"/>
    </row>
    <row r="202" spans="1:4" ht="16.5">
      <c r="A202" s="143" t="s">
        <v>397</v>
      </c>
      <c r="B202" s="144" t="s">
        <v>965</v>
      </c>
      <c r="C202" s="149" t="s">
        <v>750</v>
      </c>
      <c r="D202" s="23"/>
    </row>
    <row r="203" spans="1:4" ht="16.5">
      <c r="A203" s="143" t="s">
        <v>399</v>
      </c>
      <c r="B203" s="144" t="s">
        <v>968</v>
      </c>
      <c r="C203" s="149" t="s">
        <v>751</v>
      </c>
      <c r="D203" s="23"/>
    </row>
    <row r="204" spans="1:4" ht="16.5">
      <c r="A204" s="143" t="s">
        <v>401</v>
      </c>
      <c r="B204" s="144" t="s">
        <v>972</v>
      </c>
      <c r="C204" s="149" t="s">
        <v>752</v>
      </c>
      <c r="D204" s="23"/>
    </row>
    <row r="205" spans="1:4" ht="16.5">
      <c r="A205" s="143" t="s">
        <v>384</v>
      </c>
      <c r="B205" s="144" t="s">
        <v>972</v>
      </c>
      <c r="C205" s="149" t="s">
        <v>753</v>
      </c>
      <c r="D205" s="23"/>
    </row>
    <row r="206" spans="1:4" ht="16.5">
      <c r="A206" s="143" t="s">
        <v>386</v>
      </c>
      <c r="B206" s="144" t="s">
        <v>968</v>
      </c>
      <c r="C206" s="149" t="s">
        <v>754</v>
      </c>
      <c r="D206" s="23"/>
    </row>
    <row r="207" spans="1:4" ht="16.5">
      <c r="A207" s="146" t="s">
        <v>936</v>
      </c>
      <c r="B207" s="144" t="s">
        <v>966</v>
      </c>
      <c r="C207" s="149" t="s">
        <v>1517</v>
      </c>
      <c r="D207" s="23"/>
    </row>
    <row r="208" spans="1:4" ht="16.5">
      <c r="A208" s="143" t="s">
        <v>348</v>
      </c>
      <c r="B208" s="144" t="s">
        <v>968</v>
      </c>
      <c r="C208" s="149" t="s">
        <v>755</v>
      </c>
      <c r="D208" s="23"/>
    </row>
    <row r="209" spans="1:4" ht="16.5">
      <c r="A209" s="143" t="s">
        <v>350</v>
      </c>
      <c r="B209" s="144" t="s">
        <v>966</v>
      </c>
      <c r="C209" s="149" t="s">
        <v>756</v>
      </c>
      <c r="D209" s="23"/>
    </row>
    <row r="210" spans="1:4" ht="16.5">
      <c r="A210" s="146" t="s">
        <v>1518</v>
      </c>
      <c r="B210" s="144" t="s">
        <v>966</v>
      </c>
      <c r="C210" s="149" t="s">
        <v>1519</v>
      </c>
      <c r="D210" s="23"/>
    </row>
    <row r="211" spans="1:4" ht="16.5">
      <c r="A211" s="143" t="s">
        <v>352</v>
      </c>
      <c r="B211" s="144" t="s">
        <v>969</v>
      </c>
      <c r="C211" s="149" t="s">
        <v>757</v>
      </c>
      <c r="D211" s="23"/>
    </row>
    <row r="212" spans="1:4" ht="16.5">
      <c r="A212" s="143" t="s">
        <v>354</v>
      </c>
      <c r="B212" s="145" t="s">
        <v>972</v>
      </c>
      <c r="C212" s="149" t="s">
        <v>758</v>
      </c>
      <c r="D212" s="23"/>
    </row>
    <row r="213" spans="1:4" ht="16.5">
      <c r="A213" s="143" t="s">
        <v>67</v>
      </c>
      <c r="B213" s="144" t="s">
        <v>972</v>
      </c>
      <c r="C213" s="149" t="s">
        <v>759</v>
      </c>
      <c r="D213" s="23"/>
    </row>
    <row r="214" spans="1:4" ht="16.5">
      <c r="A214" s="143" t="s">
        <v>243</v>
      </c>
      <c r="B214" s="144" t="s">
        <v>972</v>
      </c>
      <c r="C214" s="149" t="s">
        <v>760</v>
      </c>
      <c r="D214" s="23"/>
    </row>
    <row r="215" spans="1:4" ht="16.5">
      <c r="A215" s="143" t="s">
        <v>362</v>
      </c>
      <c r="B215" s="144" t="s">
        <v>973</v>
      </c>
      <c r="C215" s="149" t="s">
        <v>761</v>
      </c>
      <c r="D215" s="23"/>
    </row>
    <row r="216" spans="1:4" ht="16.5">
      <c r="A216" s="143" t="s">
        <v>364</v>
      </c>
      <c r="B216" s="144" t="s">
        <v>965</v>
      </c>
      <c r="C216" s="149" t="s">
        <v>762</v>
      </c>
      <c r="D216" s="23"/>
    </row>
    <row r="217" spans="1:4" ht="16.5">
      <c r="A217" s="146" t="s">
        <v>935</v>
      </c>
      <c r="B217" s="144" t="s">
        <v>969</v>
      </c>
      <c r="C217" s="149" t="s">
        <v>1520</v>
      </c>
      <c r="D217" s="23"/>
    </row>
    <row r="218" spans="1:4" ht="16.5">
      <c r="A218" s="146" t="s">
        <v>961</v>
      </c>
      <c r="B218" s="145" t="s">
        <v>969</v>
      </c>
      <c r="C218" s="149" t="s">
        <v>1521</v>
      </c>
      <c r="D218" s="23"/>
    </row>
    <row r="219" spans="1:4" ht="16.5">
      <c r="A219" s="143" t="s">
        <v>366</v>
      </c>
      <c r="B219" s="144" t="s">
        <v>965</v>
      </c>
      <c r="C219" s="149" t="s">
        <v>763</v>
      </c>
      <c r="D219" s="23"/>
    </row>
    <row r="220" spans="1:4" ht="16.5">
      <c r="A220" s="143" t="s">
        <v>368</v>
      </c>
      <c r="B220" s="144" t="s">
        <v>966</v>
      </c>
      <c r="C220" s="149" t="s">
        <v>764</v>
      </c>
      <c r="D220" s="23"/>
    </row>
    <row r="221" spans="1:4" ht="16.5">
      <c r="A221" s="143" t="s">
        <v>370</v>
      </c>
      <c r="B221" s="144" t="s">
        <v>969</v>
      </c>
      <c r="C221" s="149" t="s">
        <v>765</v>
      </c>
      <c r="D221" s="23"/>
    </row>
    <row r="222" spans="1:4" ht="16.5">
      <c r="A222" s="143" t="s">
        <v>372</v>
      </c>
      <c r="B222" s="144" t="s">
        <v>966</v>
      </c>
      <c r="C222" s="149" t="s">
        <v>766</v>
      </c>
      <c r="D222" s="23"/>
    </row>
    <row r="223" spans="1:4" ht="16.5">
      <c r="A223" s="143" t="s">
        <v>374</v>
      </c>
      <c r="B223" s="144" t="s">
        <v>968</v>
      </c>
      <c r="C223" s="149" t="s">
        <v>767</v>
      </c>
      <c r="D223" s="23"/>
    </row>
    <row r="224" spans="1:4" ht="16.5">
      <c r="A224" s="143" t="s">
        <v>376</v>
      </c>
      <c r="B224" s="144" t="s">
        <v>970</v>
      </c>
      <c r="C224" s="149" t="s">
        <v>918</v>
      </c>
      <c r="D224" s="23"/>
    </row>
    <row r="225" spans="1:4" ht="16.5">
      <c r="A225" s="143" t="s">
        <v>378</v>
      </c>
      <c r="B225" s="144" t="s">
        <v>966</v>
      </c>
      <c r="C225" s="149" t="s">
        <v>768</v>
      </c>
      <c r="D225" s="23"/>
    </row>
    <row r="226" spans="1:4" ht="16.5">
      <c r="A226" s="143" t="s">
        <v>380</v>
      </c>
      <c r="B226" s="144" t="s">
        <v>966</v>
      </c>
      <c r="C226" s="149" t="s">
        <v>769</v>
      </c>
      <c r="D226" s="23"/>
    </row>
    <row r="227" spans="1:4" ht="16.5">
      <c r="A227" s="143" t="s">
        <v>382</v>
      </c>
      <c r="B227" s="144" t="s">
        <v>969</v>
      </c>
      <c r="C227" s="149" t="s">
        <v>770</v>
      </c>
      <c r="D227" s="23"/>
    </row>
    <row r="228" spans="1:4" ht="16.5">
      <c r="A228" s="143" t="s">
        <v>270</v>
      </c>
      <c r="B228" s="144" t="s">
        <v>965</v>
      </c>
      <c r="C228" s="149" t="s">
        <v>771</v>
      </c>
      <c r="D228" s="23"/>
    </row>
    <row r="229" spans="1:4" ht="16.5">
      <c r="A229" s="143" t="s">
        <v>272</v>
      </c>
      <c r="B229" s="144" t="s">
        <v>970</v>
      </c>
      <c r="C229" s="149" t="s">
        <v>919</v>
      </c>
      <c r="D229" s="23"/>
    </row>
    <row r="230" spans="1:4" ht="16.5">
      <c r="A230" s="143" t="s">
        <v>274</v>
      </c>
      <c r="B230" s="144" t="s">
        <v>966</v>
      </c>
      <c r="C230" s="149" t="s">
        <v>772</v>
      </c>
      <c r="D230" s="23"/>
    </row>
    <row r="231" spans="1:4" ht="16.5">
      <c r="A231" s="143" t="s">
        <v>276</v>
      </c>
      <c r="B231" s="144" t="s">
        <v>971</v>
      </c>
      <c r="C231" s="149" t="s">
        <v>773</v>
      </c>
      <c r="D231" s="23"/>
    </row>
    <row r="232" spans="1:4" ht="16.5">
      <c r="A232" s="143" t="s">
        <v>543</v>
      </c>
      <c r="B232" s="144" t="s">
        <v>966</v>
      </c>
      <c r="C232" s="149" t="s">
        <v>1522</v>
      </c>
      <c r="D232" s="23"/>
    </row>
    <row r="233" spans="1:4" ht="16.5">
      <c r="A233" s="143" t="s">
        <v>546</v>
      </c>
      <c r="B233" s="144" t="s">
        <v>967</v>
      </c>
      <c r="C233" s="149" t="s">
        <v>992</v>
      </c>
      <c r="D233" s="23"/>
    </row>
    <row r="234" spans="1:4" ht="16.5">
      <c r="A234" s="143" t="s">
        <v>547</v>
      </c>
      <c r="B234" s="144" t="s">
        <v>965</v>
      </c>
      <c r="C234" s="149" t="s">
        <v>774</v>
      </c>
      <c r="D234" s="23"/>
    </row>
    <row r="235" spans="1:4" ht="16.5">
      <c r="A235" s="143" t="s">
        <v>549</v>
      </c>
      <c r="B235" s="144" t="s">
        <v>969</v>
      </c>
      <c r="C235" s="149" t="s">
        <v>775</v>
      </c>
      <c r="D235" s="23"/>
    </row>
    <row r="236" spans="1:4" ht="16.5">
      <c r="A236" s="143" t="s">
        <v>551</v>
      </c>
      <c r="B236" s="144" t="s">
        <v>967</v>
      </c>
      <c r="C236" s="149" t="s">
        <v>857</v>
      </c>
      <c r="D236" s="23"/>
    </row>
    <row r="237" spans="1:4" ht="16.5">
      <c r="A237" s="143" t="s">
        <v>553</v>
      </c>
      <c r="B237" s="144" t="s">
        <v>971</v>
      </c>
      <c r="C237" s="149" t="s">
        <v>776</v>
      </c>
      <c r="D237" s="23"/>
    </row>
    <row r="238" spans="1:4" ht="16.5">
      <c r="A238" s="143" t="s">
        <v>555</v>
      </c>
      <c r="B238" s="144" t="s">
        <v>966</v>
      </c>
      <c r="C238" s="149" t="s">
        <v>777</v>
      </c>
      <c r="D238" s="23"/>
    </row>
    <row r="239" spans="1:4" ht="16.5">
      <c r="A239" s="143" t="s">
        <v>557</v>
      </c>
      <c r="B239" s="144" t="s">
        <v>972</v>
      </c>
      <c r="C239" s="149" t="s">
        <v>778</v>
      </c>
      <c r="D239" s="23"/>
    </row>
    <row r="240" spans="1:4" ht="16.5">
      <c r="A240" s="143" t="s">
        <v>559</v>
      </c>
      <c r="B240" s="145" t="s">
        <v>967</v>
      </c>
      <c r="C240" s="149" t="s">
        <v>779</v>
      </c>
      <c r="D240" s="23"/>
    </row>
    <row r="241" spans="1:4" ht="16.5">
      <c r="A241" s="143" t="s">
        <v>561</v>
      </c>
      <c r="B241" s="144" t="s">
        <v>965</v>
      </c>
      <c r="C241" s="149" t="s">
        <v>780</v>
      </c>
      <c r="D241" s="23"/>
    </row>
    <row r="242" spans="1:4" ht="16.5">
      <c r="A242" s="143" t="s">
        <v>563</v>
      </c>
      <c r="B242" s="144" t="s">
        <v>969</v>
      </c>
      <c r="C242" s="149" t="s">
        <v>781</v>
      </c>
      <c r="D242" s="23"/>
    </row>
    <row r="243" spans="1:4" ht="16.5">
      <c r="A243" s="143" t="s">
        <v>565</v>
      </c>
      <c r="B243" s="144" t="s">
        <v>970</v>
      </c>
      <c r="C243" s="149" t="s">
        <v>920</v>
      </c>
      <c r="D243" s="23"/>
    </row>
    <row r="244" spans="1:4" ht="16.5">
      <c r="A244" s="143" t="s">
        <v>77</v>
      </c>
      <c r="B244" s="145" t="s">
        <v>969</v>
      </c>
      <c r="C244" s="149" t="s">
        <v>782</v>
      </c>
      <c r="D244" s="23"/>
    </row>
    <row r="245" spans="1:4" ht="16.5">
      <c r="A245" s="143" t="s">
        <v>79</v>
      </c>
      <c r="B245" s="144" t="s">
        <v>967</v>
      </c>
      <c r="C245" s="149" t="s">
        <v>783</v>
      </c>
      <c r="D245" s="23"/>
    </row>
    <row r="246" spans="1:4" ht="16.5">
      <c r="A246" s="143" t="s">
        <v>81</v>
      </c>
      <c r="B246" s="144" t="s">
        <v>969</v>
      </c>
      <c r="C246" s="149" t="s">
        <v>784</v>
      </c>
      <c r="D246" s="23"/>
    </row>
    <row r="247" spans="1:4" ht="16.5">
      <c r="A247" s="143" t="s">
        <v>83</v>
      </c>
      <c r="B247" s="144" t="s">
        <v>973</v>
      </c>
      <c r="C247" s="149" t="s">
        <v>785</v>
      </c>
      <c r="D247" s="23"/>
    </row>
    <row r="248" spans="1:4" ht="16.5">
      <c r="A248" s="143" t="s">
        <v>85</v>
      </c>
      <c r="B248" s="144" t="s">
        <v>965</v>
      </c>
      <c r="C248" s="149" t="s">
        <v>786</v>
      </c>
      <c r="D248" s="23"/>
    </row>
    <row r="249" spans="1:4" ht="16.5">
      <c r="A249" s="143" t="s">
        <v>567</v>
      </c>
      <c r="B249" s="144" t="s">
        <v>972</v>
      </c>
      <c r="C249" s="149" t="s">
        <v>787</v>
      </c>
      <c r="D249" s="23"/>
    </row>
    <row r="250" spans="1:4" ht="16.5">
      <c r="A250" s="143" t="s">
        <v>569</v>
      </c>
      <c r="B250" s="144" t="s">
        <v>967</v>
      </c>
      <c r="C250" s="149" t="s">
        <v>788</v>
      </c>
      <c r="D250" s="23"/>
    </row>
    <row r="251" spans="1:4" ht="16.5">
      <c r="A251" s="143" t="s">
        <v>571</v>
      </c>
      <c r="B251" s="144" t="s">
        <v>965</v>
      </c>
      <c r="C251" s="149" t="s">
        <v>789</v>
      </c>
      <c r="D251" s="23"/>
    </row>
    <row r="252" spans="1:4" ht="16.5">
      <c r="A252" s="143" t="s">
        <v>573</v>
      </c>
      <c r="B252" s="144" t="s">
        <v>966</v>
      </c>
      <c r="C252" s="149" t="s">
        <v>790</v>
      </c>
      <c r="D252" s="23"/>
    </row>
    <row r="253" spans="1:4" ht="16.5">
      <c r="A253" s="146" t="s">
        <v>937</v>
      </c>
      <c r="B253" s="144" t="s">
        <v>966</v>
      </c>
      <c r="C253" s="149" t="s">
        <v>1523</v>
      </c>
      <c r="D253" s="23"/>
    </row>
    <row r="254" spans="1:4" ht="16.5">
      <c r="A254" s="143" t="s">
        <v>541</v>
      </c>
      <c r="B254" s="144" t="s">
        <v>966</v>
      </c>
      <c r="C254" s="149" t="s">
        <v>791</v>
      </c>
      <c r="D254" s="23"/>
    </row>
    <row r="255" spans="1:4" ht="16.5">
      <c r="A255" s="143" t="s">
        <v>57</v>
      </c>
      <c r="B255" s="144" t="s">
        <v>967</v>
      </c>
      <c r="C255" s="149" t="s">
        <v>792</v>
      </c>
      <c r="D255" s="23"/>
    </row>
    <row r="256" spans="1:4" ht="16.5">
      <c r="A256" s="143" t="s">
        <v>59</v>
      </c>
      <c r="B256" s="144" t="s">
        <v>968</v>
      </c>
      <c r="C256" s="149" t="s">
        <v>793</v>
      </c>
      <c r="D256" s="23"/>
    </row>
    <row r="257" spans="1:4" ht="16.5">
      <c r="A257" s="143" t="s">
        <v>61</v>
      </c>
      <c r="B257" s="144" t="s">
        <v>968</v>
      </c>
      <c r="C257" s="149" t="s">
        <v>794</v>
      </c>
      <c r="D257" s="23"/>
    </row>
    <row r="258" spans="1:4" ht="16.5">
      <c r="A258" s="143" t="s">
        <v>63</v>
      </c>
      <c r="B258" s="144" t="s">
        <v>973</v>
      </c>
      <c r="C258" s="149" t="s">
        <v>795</v>
      </c>
      <c r="D258" s="23"/>
    </row>
    <row r="259" spans="1:4" ht="16.5">
      <c r="A259" s="143" t="s">
        <v>65</v>
      </c>
      <c r="B259" s="144" t="s">
        <v>969</v>
      </c>
      <c r="C259" s="149" t="s">
        <v>994</v>
      </c>
      <c r="D259" s="23"/>
    </row>
    <row r="260" spans="1:4" ht="16.5">
      <c r="A260" s="143" t="s">
        <v>66</v>
      </c>
      <c r="B260" s="145" t="s">
        <v>966</v>
      </c>
      <c r="C260" s="149" t="s">
        <v>796</v>
      </c>
      <c r="D260" s="23"/>
    </row>
    <row r="261" spans="1:4" ht="16.5">
      <c r="A261" s="143" t="s">
        <v>5</v>
      </c>
      <c r="B261" s="144" t="s">
        <v>970</v>
      </c>
      <c r="C261" s="149" t="s">
        <v>922</v>
      </c>
      <c r="D261" s="23"/>
    </row>
    <row r="262" spans="1:4" ht="16.5">
      <c r="A262" s="143" t="s">
        <v>7</v>
      </c>
      <c r="B262" s="144" t="s">
        <v>967</v>
      </c>
      <c r="C262" s="149" t="s">
        <v>797</v>
      </c>
      <c r="D262" s="23"/>
    </row>
    <row r="263" spans="1:4" ht="16.5">
      <c r="A263" s="146" t="s">
        <v>954</v>
      </c>
      <c r="B263" s="144" t="s">
        <v>969</v>
      </c>
      <c r="C263" s="149" t="s">
        <v>1524</v>
      </c>
      <c r="D263" s="23"/>
    </row>
    <row r="264" spans="1:4" ht="16.5">
      <c r="A264" s="146" t="s">
        <v>934</v>
      </c>
      <c r="B264" s="144" t="s">
        <v>969</v>
      </c>
      <c r="C264" s="149" t="s">
        <v>1525</v>
      </c>
      <c r="D264" s="23"/>
    </row>
    <row r="265" spans="1:4" ht="16.5">
      <c r="A265" s="146" t="s">
        <v>933</v>
      </c>
      <c r="B265" s="144" t="s">
        <v>969</v>
      </c>
      <c r="C265" s="149" t="s">
        <v>1526</v>
      </c>
      <c r="D265" s="23"/>
    </row>
    <row r="266" spans="1:4" ht="16.5">
      <c r="A266" s="143" t="s">
        <v>9</v>
      </c>
      <c r="B266" s="145" t="s">
        <v>966</v>
      </c>
      <c r="C266" s="149" t="s">
        <v>798</v>
      </c>
      <c r="D266" s="23"/>
    </row>
    <row r="267" spans="1:4" ht="16.5">
      <c r="A267" s="143" t="s">
        <v>246</v>
      </c>
      <c r="B267" s="144" t="s">
        <v>969</v>
      </c>
      <c r="C267" s="149" t="s">
        <v>995</v>
      </c>
      <c r="D267" s="23"/>
    </row>
    <row r="268" spans="1:4" ht="16.5">
      <c r="A268" s="143" t="s">
        <v>248</v>
      </c>
      <c r="B268" s="144" t="s">
        <v>971</v>
      </c>
      <c r="C268" s="149" t="s">
        <v>800</v>
      </c>
      <c r="D268" s="23"/>
    </row>
    <row r="269" spans="1:4" ht="16.5">
      <c r="A269" s="143">
        <v>18902</v>
      </c>
      <c r="B269" s="144" t="s">
        <v>989</v>
      </c>
      <c r="C269" s="149" t="s">
        <v>996</v>
      </c>
      <c r="D269" s="23"/>
    </row>
    <row r="270" spans="1:4" ht="16.5">
      <c r="A270" s="143" t="s">
        <v>250</v>
      </c>
      <c r="B270" s="144" t="s">
        <v>969</v>
      </c>
      <c r="C270" s="149" t="s">
        <v>801</v>
      </c>
      <c r="D270" s="23"/>
    </row>
    <row r="271" spans="1:4" ht="16.5">
      <c r="A271" s="143" t="s">
        <v>252</v>
      </c>
      <c r="B271" s="144" t="s">
        <v>965</v>
      </c>
      <c r="C271" s="149" t="s">
        <v>802</v>
      </c>
      <c r="D271" s="23"/>
    </row>
    <row r="272" spans="1:4" ht="16.5">
      <c r="A272" s="143" t="s">
        <v>254</v>
      </c>
      <c r="B272" s="144" t="s">
        <v>969</v>
      </c>
      <c r="C272" s="149" t="s">
        <v>803</v>
      </c>
      <c r="D272" s="23"/>
    </row>
    <row r="273" spans="1:4" ht="16.5">
      <c r="A273" s="143" t="s">
        <v>256</v>
      </c>
      <c r="B273" s="144" t="s">
        <v>966</v>
      </c>
      <c r="C273" s="149" t="s">
        <v>804</v>
      </c>
      <c r="D273" s="23"/>
    </row>
    <row r="274" spans="1:4" ht="16.5">
      <c r="A274" s="143" t="s">
        <v>258</v>
      </c>
      <c r="B274" s="144" t="s">
        <v>965</v>
      </c>
      <c r="C274" s="149" t="s">
        <v>805</v>
      </c>
      <c r="D274" s="23"/>
    </row>
    <row r="275" spans="1:4" ht="16.5">
      <c r="A275" s="143" t="s">
        <v>260</v>
      </c>
      <c r="B275" s="144" t="s">
        <v>971</v>
      </c>
      <c r="C275" s="149" t="s">
        <v>806</v>
      </c>
      <c r="D275" s="23"/>
    </row>
    <row r="276" spans="1:4" ht="16.5">
      <c r="A276" s="143" t="s">
        <v>262</v>
      </c>
      <c r="B276" s="144" t="s">
        <v>965</v>
      </c>
      <c r="C276" s="149" t="s">
        <v>807</v>
      </c>
      <c r="D276" s="23"/>
    </row>
    <row r="277" spans="1:4" ht="16.5">
      <c r="A277" s="143" t="s">
        <v>264</v>
      </c>
      <c r="B277" s="144" t="s">
        <v>973</v>
      </c>
      <c r="C277" s="149" t="s">
        <v>808</v>
      </c>
      <c r="D277" s="23"/>
    </row>
    <row r="278" spans="1:4" ht="16.5">
      <c r="A278" s="143" t="s">
        <v>266</v>
      </c>
      <c r="B278" s="144" t="s">
        <v>971</v>
      </c>
      <c r="C278" s="149" t="s">
        <v>809</v>
      </c>
      <c r="D278" s="23"/>
    </row>
    <row r="279" spans="1:4" ht="16.5">
      <c r="A279" s="143" t="s">
        <v>268</v>
      </c>
      <c r="B279" s="144" t="s">
        <v>968</v>
      </c>
      <c r="C279" s="149" t="s">
        <v>810</v>
      </c>
      <c r="D279" s="23"/>
    </row>
    <row r="280" spans="1:4" ht="16.5">
      <c r="A280" s="143" t="s">
        <v>185</v>
      </c>
      <c r="B280" s="144" t="s">
        <v>970</v>
      </c>
      <c r="C280" s="149" t="s">
        <v>925</v>
      </c>
      <c r="D280" s="23"/>
    </row>
    <row r="281" spans="1:4" ht="16.5">
      <c r="A281" s="143" t="s">
        <v>187</v>
      </c>
      <c r="B281" s="144" t="s">
        <v>970</v>
      </c>
      <c r="C281" s="149" t="s">
        <v>926</v>
      </c>
      <c r="D281" s="23"/>
    </row>
    <row r="282" spans="1:4" ht="16.5">
      <c r="A282" s="143" t="s">
        <v>566</v>
      </c>
      <c r="B282" s="144" t="s">
        <v>969</v>
      </c>
      <c r="C282" s="149" t="s">
        <v>811</v>
      </c>
      <c r="D282" s="23"/>
    </row>
    <row r="283" spans="1:4" ht="16.5">
      <c r="A283" s="143" t="s">
        <v>189</v>
      </c>
      <c r="B283" s="144" t="s">
        <v>965</v>
      </c>
      <c r="C283" s="149" t="s">
        <v>812</v>
      </c>
      <c r="D283" s="23"/>
    </row>
    <row r="284" spans="1:4" ht="16.5">
      <c r="A284" s="143" t="s">
        <v>191</v>
      </c>
      <c r="B284" s="144" t="s">
        <v>971</v>
      </c>
      <c r="C284" s="149" t="s">
        <v>813</v>
      </c>
      <c r="D284" s="23"/>
    </row>
    <row r="285" spans="1:4" ht="16.5">
      <c r="A285" s="143" t="s">
        <v>193</v>
      </c>
      <c r="B285" s="144" t="s">
        <v>969</v>
      </c>
      <c r="C285" s="149" t="s">
        <v>814</v>
      </c>
      <c r="D285" s="23"/>
    </row>
    <row r="286" spans="1:4" ht="16.5">
      <c r="A286" s="143" t="s">
        <v>278</v>
      </c>
      <c r="B286" s="144" t="s">
        <v>966</v>
      </c>
      <c r="C286" s="149" t="s">
        <v>856</v>
      </c>
      <c r="D286" s="23"/>
    </row>
    <row r="287" spans="1:4" ht="16.5">
      <c r="A287" s="143" t="s">
        <v>280</v>
      </c>
      <c r="B287" s="144" t="s">
        <v>970</v>
      </c>
      <c r="C287" s="149" t="s">
        <v>815</v>
      </c>
      <c r="D287" s="23"/>
    </row>
    <row r="288" spans="1:4" ht="16.5">
      <c r="A288" s="143" t="s">
        <v>501</v>
      </c>
      <c r="B288" s="144" t="s">
        <v>969</v>
      </c>
      <c r="C288" s="149" t="s">
        <v>816</v>
      </c>
      <c r="D288" s="23"/>
    </row>
    <row r="289" spans="1:4" ht="16.5">
      <c r="A289" s="143">
        <v>34974</v>
      </c>
      <c r="B289" s="144" t="s">
        <v>989</v>
      </c>
      <c r="C289" s="149" t="s">
        <v>871</v>
      </c>
      <c r="D289" s="23"/>
    </row>
    <row r="290" spans="1:4" ht="16.5">
      <c r="A290" s="143">
        <v>34975</v>
      </c>
      <c r="B290" s="144" t="s">
        <v>989</v>
      </c>
      <c r="C290" s="149" t="s">
        <v>997</v>
      </c>
      <c r="D290" s="23"/>
    </row>
    <row r="291" spans="1:4" ht="16.5">
      <c r="A291" s="143" t="s">
        <v>503</v>
      </c>
      <c r="B291" s="144" t="s">
        <v>970</v>
      </c>
      <c r="C291" s="149" t="s">
        <v>927</v>
      </c>
      <c r="D291" s="23"/>
    </row>
    <row r="292" spans="1:4" ht="16.5">
      <c r="A292" s="143" t="s">
        <v>505</v>
      </c>
      <c r="B292" s="144" t="s">
        <v>971</v>
      </c>
      <c r="C292" s="149" t="s">
        <v>817</v>
      </c>
      <c r="D292" s="23"/>
    </row>
    <row r="293" spans="1:4" ht="16.5">
      <c r="A293" s="143" t="s">
        <v>507</v>
      </c>
      <c r="B293" s="144" t="s">
        <v>968</v>
      </c>
      <c r="C293" s="149" t="s">
        <v>818</v>
      </c>
      <c r="D293" s="23"/>
    </row>
    <row r="294" spans="1:4" ht="16.5">
      <c r="A294" s="143" t="s">
        <v>509</v>
      </c>
      <c r="B294" s="144" t="s">
        <v>968</v>
      </c>
      <c r="C294" s="149" t="s">
        <v>819</v>
      </c>
      <c r="D294" s="23"/>
    </row>
    <row r="295" spans="1:4" ht="16.5">
      <c r="A295" s="143" t="s">
        <v>511</v>
      </c>
      <c r="B295" s="144" t="s">
        <v>971</v>
      </c>
      <c r="C295" s="149" t="s">
        <v>820</v>
      </c>
      <c r="D295" s="23"/>
    </row>
    <row r="296" spans="1:4" ht="16.5">
      <c r="A296" s="143" t="s">
        <v>32</v>
      </c>
      <c r="B296" s="144" t="s">
        <v>973</v>
      </c>
      <c r="C296" s="149" t="s">
        <v>821</v>
      </c>
      <c r="D296" s="23"/>
    </row>
    <row r="297" spans="1:4" ht="16.5">
      <c r="A297" s="143" t="s">
        <v>34</v>
      </c>
      <c r="B297" s="144" t="s">
        <v>970</v>
      </c>
      <c r="C297" s="149" t="s">
        <v>822</v>
      </c>
      <c r="D297" s="23"/>
    </row>
    <row r="298" spans="1:4" ht="16.5">
      <c r="A298" s="143" t="s">
        <v>36</v>
      </c>
      <c r="B298" s="144" t="s">
        <v>966</v>
      </c>
      <c r="C298" s="149" t="s">
        <v>823</v>
      </c>
      <c r="D298" s="23"/>
    </row>
    <row r="299" spans="1:4" ht="16.5">
      <c r="A299" s="143" t="s">
        <v>520</v>
      </c>
      <c r="B299" s="144" t="s">
        <v>973</v>
      </c>
      <c r="C299" s="149" t="s">
        <v>928</v>
      </c>
      <c r="D299" s="23"/>
    </row>
    <row r="300" spans="1:4" ht="16.5">
      <c r="A300" s="143" t="s">
        <v>522</v>
      </c>
      <c r="B300" s="145" t="s">
        <v>966</v>
      </c>
      <c r="C300" s="149" t="s">
        <v>824</v>
      </c>
      <c r="D300" s="23"/>
    </row>
    <row r="301" spans="1:4" ht="16.5">
      <c r="A301" s="143" t="s">
        <v>485</v>
      </c>
      <c r="B301" s="144" t="s">
        <v>973</v>
      </c>
      <c r="C301" s="149" t="s">
        <v>825</v>
      </c>
      <c r="D301" s="23"/>
    </row>
    <row r="302" spans="1:4" ht="16.5">
      <c r="A302" s="143" t="s">
        <v>299</v>
      </c>
      <c r="B302" s="144" t="s">
        <v>971</v>
      </c>
      <c r="C302" s="149" t="s">
        <v>998</v>
      </c>
      <c r="D302" s="23"/>
    </row>
    <row r="303" spans="1:4" ht="16.5">
      <c r="A303" s="143" t="s">
        <v>298</v>
      </c>
      <c r="B303" s="144" t="s">
        <v>966</v>
      </c>
      <c r="C303" s="149" t="s">
        <v>999</v>
      </c>
      <c r="D303" s="23"/>
    </row>
    <row r="304" spans="1:4" ht="16.5">
      <c r="A304" s="146" t="s">
        <v>1311</v>
      </c>
      <c r="B304" s="144" t="s">
        <v>967</v>
      </c>
      <c r="C304" s="149" t="s">
        <v>1527</v>
      </c>
      <c r="D304" s="23"/>
    </row>
    <row r="305" spans="1:4" ht="16.5">
      <c r="A305" s="143" t="s">
        <v>300</v>
      </c>
      <c r="B305" s="144" t="s">
        <v>965</v>
      </c>
      <c r="C305" s="149" t="s">
        <v>826</v>
      </c>
      <c r="D305" s="23"/>
    </row>
    <row r="306" spans="1:4" ht="16.5">
      <c r="A306" s="143" t="s">
        <v>302</v>
      </c>
      <c r="B306" s="144" t="s">
        <v>969</v>
      </c>
      <c r="C306" s="149" t="s">
        <v>827</v>
      </c>
      <c r="D306" s="23"/>
    </row>
    <row r="307" spans="1:4" ht="16.5">
      <c r="A307" s="143" t="s">
        <v>304</v>
      </c>
      <c r="B307" s="144" t="s">
        <v>970</v>
      </c>
      <c r="C307" s="149" t="s">
        <v>929</v>
      </c>
      <c r="D307" s="23"/>
    </row>
    <row r="308" spans="1:4" ht="16.5">
      <c r="A308" s="146" t="s">
        <v>1161</v>
      </c>
      <c r="B308" s="144" t="s">
        <v>969</v>
      </c>
      <c r="C308" s="149" t="s">
        <v>1528</v>
      </c>
      <c r="D308" s="23"/>
    </row>
    <row r="309" spans="1:4" ht="16.5">
      <c r="A309" s="146" t="s">
        <v>306</v>
      </c>
      <c r="B309" s="144" t="s">
        <v>966</v>
      </c>
      <c r="C309" s="149" t="s">
        <v>828</v>
      </c>
      <c r="D309" s="23"/>
    </row>
    <row r="310" spans="1:4" ht="16.5">
      <c r="A310" s="143" t="s">
        <v>308</v>
      </c>
      <c r="B310" s="144" t="s">
        <v>965</v>
      </c>
      <c r="C310" s="149" t="s">
        <v>829</v>
      </c>
      <c r="D310" s="23"/>
    </row>
    <row r="311" spans="1:4" ht="16.5">
      <c r="A311" s="143" t="s">
        <v>310</v>
      </c>
      <c r="B311" s="144" t="s">
        <v>973</v>
      </c>
      <c r="C311" s="149" t="s">
        <v>830</v>
      </c>
      <c r="D311" s="23"/>
    </row>
    <row r="312" spans="1:4" ht="16.5">
      <c r="A312" s="143" t="s">
        <v>312</v>
      </c>
      <c r="B312" s="144" t="s">
        <v>965</v>
      </c>
      <c r="C312" s="149" t="s">
        <v>831</v>
      </c>
      <c r="D312" s="23"/>
    </row>
    <row r="313" spans="1:4" ht="16.5">
      <c r="A313" s="143" t="s">
        <v>173</v>
      </c>
      <c r="B313" s="145" t="s">
        <v>965</v>
      </c>
      <c r="C313" s="149" t="s">
        <v>832</v>
      </c>
      <c r="D313" s="23"/>
    </row>
    <row r="314" spans="1:4" ht="16.5">
      <c r="A314" s="143" t="s">
        <v>175</v>
      </c>
      <c r="B314" s="144" t="s">
        <v>970</v>
      </c>
      <c r="C314" s="149" t="s">
        <v>930</v>
      </c>
      <c r="D314" s="23"/>
    </row>
    <row r="315" spans="1:4" ht="16.5">
      <c r="A315" s="143" t="s">
        <v>177</v>
      </c>
      <c r="B315" s="144" t="s">
        <v>970</v>
      </c>
      <c r="C315" s="149" t="s">
        <v>833</v>
      </c>
      <c r="D315" s="23"/>
    </row>
    <row r="316" spans="1:4" ht="16.5">
      <c r="A316" s="143" t="s">
        <v>179</v>
      </c>
      <c r="B316" s="144" t="s">
        <v>971</v>
      </c>
      <c r="C316" s="149" t="s">
        <v>834</v>
      </c>
      <c r="D316" s="23"/>
    </row>
    <row r="317" spans="1:4" ht="16.5">
      <c r="A317" s="143" t="s">
        <v>181</v>
      </c>
      <c r="B317" s="144" t="s">
        <v>965</v>
      </c>
      <c r="C317" s="149" t="s">
        <v>835</v>
      </c>
      <c r="D317" s="23"/>
    </row>
    <row r="318" spans="1:4" ht="16.5">
      <c r="A318" s="143" t="s">
        <v>407</v>
      </c>
      <c r="B318" s="144" t="s">
        <v>971</v>
      </c>
      <c r="C318" s="149" t="s">
        <v>836</v>
      </c>
      <c r="D318" s="23"/>
    </row>
    <row r="319" spans="1:4">
      <c r="D319" s="23"/>
    </row>
    <row r="320" spans="1:4">
      <c r="D320" s="23"/>
    </row>
    <row r="321" spans="4:4">
      <c r="D321" s="23"/>
    </row>
  </sheetData>
  <autoFilter ref="A2:C318" xr:uid="{00000000-0001-0000-0100-000000000000}"/>
  <sortState xmlns:xlrd2="http://schemas.microsoft.com/office/spreadsheetml/2017/richdata2" ref="A3:B310">
    <sortCondition ref="B3:B310"/>
  </sortState>
  <customSheetViews>
    <customSheetView guid="{3391497B-85F4-4817-B669-10F463F3A207}" topLeftCell="A133">
      <selection activeCell="A3" sqref="A3:A301"/>
      <pageMargins left="0.7" right="0.7" top="0.75" bottom="0.75" header="0.3" footer="0.3"/>
    </customSheetView>
    <customSheetView guid="{6D4FF6D6-C66D-4B43-9B4E-7985B86B1BBC}">
      <selection activeCell="A3" sqref="A3:A301"/>
      <pageMargins left="0.7" right="0.7" top="0.75" bottom="0.75" header="0.3" footer="0.3"/>
    </customSheetView>
    <customSheetView guid="{258DC0F9-B8C5-4A47-B911-FC6C1B128653}" topLeftCell="A133">
      <selection activeCell="A3" sqref="A3:A301"/>
      <pageMargins left="0.7" right="0.7" top="0.75" bottom="0.75" header="0.3" footer="0.3"/>
    </customSheetView>
  </customSheetView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A0E1-89C0-45AC-A3AB-C266159BDBBE}">
  <sheetPr>
    <tabColor rgb="FF92D050"/>
  </sheetPr>
  <dimension ref="A1:E288"/>
  <sheetViews>
    <sheetView topLeftCell="A265" workbookViewId="0">
      <selection activeCell="D326" sqref="D326"/>
    </sheetView>
  </sheetViews>
  <sheetFormatPr defaultRowHeight="12.75"/>
  <cols>
    <col min="1" max="1" width="8.5703125" bestFit="1" customWidth="1"/>
    <col min="2" max="2" width="32" customWidth="1"/>
    <col min="3" max="4" width="12.5703125" bestFit="1" customWidth="1"/>
  </cols>
  <sheetData>
    <row r="1" spans="1:5">
      <c r="A1" s="292" t="s">
        <v>2077</v>
      </c>
      <c r="B1" s="292"/>
      <c r="C1" s="292"/>
      <c r="D1" s="292"/>
    </row>
    <row r="2" spans="1:5" ht="13.5" thickBot="1">
      <c r="A2" s="293" t="s">
        <v>1812</v>
      </c>
      <c r="B2" s="293"/>
      <c r="C2" s="293"/>
      <c r="D2" s="293"/>
    </row>
    <row r="3" spans="1:5">
      <c r="A3" s="4" t="s">
        <v>1602</v>
      </c>
      <c r="B3" s="4" t="s">
        <v>1603</v>
      </c>
      <c r="C3" s="177" t="s">
        <v>977</v>
      </c>
      <c r="D3" s="177" t="s">
        <v>978</v>
      </c>
      <c r="E3" s="177" t="s">
        <v>586</v>
      </c>
    </row>
    <row r="4" spans="1:5">
      <c r="A4" s="23" t="s">
        <v>51</v>
      </c>
      <c r="B4" s="23" t="s">
        <v>1604</v>
      </c>
      <c r="C4" s="178">
        <v>0</v>
      </c>
      <c r="D4" s="178">
        <v>0</v>
      </c>
      <c r="E4" s="181">
        <f>C4+D4</f>
        <v>0</v>
      </c>
    </row>
    <row r="5" spans="1:5">
      <c r="A5" s="23" t="s">
        <v>53</v>
      </c>
      <c r="B5" s="23" t="s">
        <v>1489</v>
      </c>
      <c r="C5" s="178">
        <v>0</v>
      </c>
      <c r="D5" s="178">
        <v>0</v>
      </c>
      <c r="E5" s="181">
        <f t="shared" ref="E5:E68" si="0">C5+D5</f>
        <v>0</v>
      </c>
    </row>
    <row r="6" spans="1:5">
      <c r="A6" s="179" t="s">
        <v>55</v>
      </c>
      <c r="B6" s="23" t="s">
        <v>1605</v>
      </c>
      <c r="C6" s="178">
        <v>0</v>
      </c>
      <c r="D6" s="178">
        <v>0</v>
      </c>
      <c r="E6" s="181">
        <f t="shared" si="0"/>
        <v>0</v>
      </c>
    </row>
    <row r="7" spans="1:5">
      <c r="A7" s="23" t="s">
        <v>182</v>
      </c>
      <c r="B7" s="23" t="s">
        <v>1360</v>
      </c>
      <c r="C7" s="178">
        <v>0</v>
      </c>
      <c r="D7" s="178">
        <v>0</v>
      </c>
      <c r="E7" s="181">
        <f t="shared" si="0"/>
        <v>0</v>
      </c>
    </row>
    <row r="8" spans="1:5">
      <c r="A8" s="23" t="s">
        <v>471</v>
      </c>
      <c r="B8" s="23" t="s">
        <v>1361</v>
      </c>
      <c r="C8" s="178">
        <v>192532</v>
      </c>
      <c r="D8" s="178">
        <v>20408</v>
      </c>
      <c r="E8" s="181">
        <f t="shared" si="0"/>
        <v>212940</v>
      </c>
    </row>
    <row r="9" spans="1:5">
      <c r="A9" s="23" t="s">
        <v>473</v>
      </c>
      <c r="B9" s="23" t="s">
        <v>1606</v>
      </c>
      <c r="C9" s="178">
        <v>27187</v>
      </c>
      <c r="D9" s="178">
        <v>2277</v>
      </c>
      <c r="E9" s="181">
        <f t="shared" si="0"/>
        <v>29464</v>
      </c>
    </row>
    <row r="10" spans="1:5">
      <c r="A10" s="23" t="s">
        <v>474</v>
      </c>
      <c r="B10" s="23" t="s">
        <v>1362</v>
      </c>
      <c r="C10" s="178">
        <v>0</v>
      </c>
      <c r="D10" s="178">
        <v>0</v>
      </c>
      <c r="E10" s="181">
        <f t="shared" si="0"/>
        <v>0</v>
      </c>
    </row>
    <row r="11" spans="1:5">
      <c r="A11" s="23" t="s">
        <v>476</v>
      </c>
      <c r="B11" s="23" t="s">
        <v>1607</v>
      </c>
      <c r="C11" s="178">
        <v>0</v>
      </c>
      <c r="D11" s="178">
        <v>0</v>
      </c>
      <c r="E11" s="181">
        <f t="shared" si="0"/>
        <v>0</v>
      </c>
    </row>
    <row r="12" spans="1:5">
      <c r="A12" s="23" t="s">
        <v>477</v>
      </c>
      <c r="B12" s="23" t="s">
        <v>1608</v>
      </c>
      <c r="C12" s="178">
        <v>430325</v>
      </c>
      <c r="D12" s="178">
        <v>5317</v>
      </c>
      <c r="E12" s="181">
        <f t="shared" si="0"/>
        <v>435642</v>
      </c>
    </row>
    <row r="13" spans="1:5">
      <c r="A13" s="23" t="s">
        <v>195</v>
      </c>
      <c r="B13" s="23" t="s">
        <v>1363</v>
      </c>
      <c r="C13" s="178">
        <v>617952</v>
      </c>
      <c r="D13" s="178">
        <v>67837</v>
      </c>
      <c r="E13" s="181">
        <f t="shared" si="0"/>
        <v>685789</v>
      </c>
    </row>
    <row r="14" spans="1:5">
      <c r="A14" s="23" t="s">
        <v>197</v>
      </c>
      <c r="B14" s="23" t="s">
        <v>1364</v>
      </c>
      <c r="C14" s="178">
        <v>543586</v>
      </c>
      <c r="D14" s="178">
        <v>45515</v>
      </c>
      <c r="E14" s="181">
        <f t="shared" si="0"/>
        <v>589101</v>
      </c>
    </row>
    <row r="15" spans="1:5">
      <c r="A15" s="23" t="s">
        <v>199</v>
      </c>
      <c r="B15" s="23" t="s">
        <v>1365</v>
      </c>
      <c r="C15" s="178">
        <v>0</v>
      </c>
      <c r="D15" s="178">
        <v>0</v>
      </c>
      <c r="E15" s="181">
        <f t="shared" si="0"/>
        <v>0</v>
      </c>
    </row>
    <row r="16" spans="1:5">
      <c r="A16" s="23" t="s">
        <v>201</v>
      </c>
      <c r="B16" s="23" t="s">
        <v>1464</v>
      </c>
      <c r="C16" s="178">
        <v>0</v>
      </c>
      <c r="D16" s="178">
        <v>0</v>
      </c>
      <c r="E16" s="181">
        <f t="shared" si="0"/>
        <v>0</v>
      </c>
    </row>
    <row r="17" spans="1:5">
      <c r="A17" s="23" t="s">
        <v>14</v>
      </c>
      <c r="B17" s="23" t="s">
        <v>1609</v>
      </c>
      <c r="C17" s="178">
        <v>0</v>
      </c>
      <c r="D17" s="178">
        <v>0</v>
      </c>
      <c r="E17" s="181">
        <f t="shared" si="0"/>
        <v>0</v>
      </c>
    </row>
    <row r="18" spans="1:5">
      <c r="A18" s="23" t="s">
        <v>16</v>
      </c>
      <c r="B18" s="23" t="s">
        <v>1366</v>
      </c>
      <c r="C18" s="178">
        <v>4266</v>
      </c>
      <c r="D18" s="178">
        <v>358</v>
      </c>
      <c r="E18" s="181">
        <f t="shared" si="0"/>
        <v>4624</v>
      </c>
    </row>
    <row r="19" spans="1:5">
      <c r="A19" s="23" t="s">
        <v>524</v>
      </c>
      <c r="B19" s="23" t="s">
        <v>1367</v>
      </c>
      <c r="C19" s="178">
        <v>169298</v>
      </c>
      <c r="D19" s="178">
        <v>19136</v>
      </c>
      <c r="E19" s="181">
        <f t="shared" si="0"/>
        <v>188434</v>
      </c>
    </row>
    <row r="20" spans="1:5">
      <c r="A20" s="23" t="s">
        <v>526</v>
      </c>
      <c r="B20" s="23" t="s">
        <v>1368</v>
      </c>
      <c r="C20" s="178">
        <v>2893</v>
      </c>
      <c r="D20" s="178">
        <v>0</v>
      </c>
      <c r="E20" s="181">
        <f t="shared" si="0"/>
        <v>2893</v>
      </c>
    </row>
    <row r="21" spans="1:5">
      <c r="A21" s="23" t="s">
        <v>528</v>
      </c>
      <c r="B21" s="23" t="s">
        <v>1610</v>
      </c>
      <c r="C21" s="178">
        <v>0</v>
      </c>
      <c r="D21" s="178">
        <v>0</v>
      </c>
      <c r="E21" s="181">
        <f t="shared" si="0"/>
        <v>0</v>
      </c>
    </row>
    <row r="22" spans="1:5">
      <c r="A22" s="23" t="s">
        <v>530</v>
      </c>
      <c r="B22" s="23" t="s">
        <v>1611</v>
      </c>
      <c r="C22" s="178">
        <v>0</v>
      </c>
      <c r="D22" s="178">
        <v>0</v>
      </c>
      <c r="E22" s="181">
        <f t="shared" si="0"/>
        <v>0</v>
      </c>
    </row>
    <row r="23" spans="1:5">
      <c r="A23" s="23" t="s">
        <v>532</v>
      </c>
      <c r="B23" s="23" t="s">
        <v>1369</v>
      </c>
      <c r="C23" s="178">
        <v>0</v>
      </c>
      <c r="D23" s="178">
        <v>2097</v>
      </c>
      <c r="E23" s="181">
        <f t="shared" si="0"/>
        <v>2097</v>
      </c>
    </row>
    <row r="24" spans="1:5">
      <c r="A24" s="23" t="s">
        <v>534</v>
      </c>
      <c r="B24" s="23" t="s">
        <v>1612</v>
      </c>
      <c r="C24" s="178">
        <v>196503</v>
      </c>
      <c r="D24" s="178">
        <v>0</v>
      </c>
      <c r="E24" s="181">
        <f t="shared" si="0"/>
        <v>196503</v>
      </c>
    </row>
    <row r="25" spans="1:5">
      <c r="A25" s="23" t="s">
        <v>536</v>
      </c>
      <c r="B25" s="23" t="s">
        <v>1613</v>
      </c>
      <c r="C25" s="178">
        <v>0</v>
      </c>
      <c r="D25" s="178">
        <v>0</v>
      </c>
      <c r="E25" s="181">
        <f t="shared" si="0"/>
        <v>0</v>
      </c>
    </row>
    <row r="26" spans="1:5">
      <c r="A26" s="23" t="s">
        <v>538</v>
      </c>
      <c r="B26" s="23" t="s">
        <v>1614</v>
      </c>
      <c r="C26" s="178">
        <v>2235</v>
      </c>
      <c r="D26" s="178">
        <v>8</v>
      </c>
      <c r="E26" s="181">
        <f t="shared" si="0"/>
        <v>2243</v>
      </c>
    </row>
    <row r="27" spans="1:5">
      <c r="A27" s="23" t="s">
        <v>151</v>
      </c>
      <c r="B27" s="23" t="s">
        <v>1615</v>
      </c>
      <c r="C27" s="178">
        <v>1854</v>
      </c>
      <c r="D27" s="178">
        <v>31</v>
      </c>
      <c r="E27" s="181">
        <f t="shared" si="0"/>
        <v>1885</v>
      </c>
    </row>
    <row r="28" spans="1:5">
      <c r="A28" s="23" t="s">
        <v>153</v>
      </c>
      <c r="B28" s="23" t="s">
        <v>1616</v>
      </c>
      <c r="C28" s="178">
        <v>0</v>
      </c>
      <c r="D28" s="178">
        <v>0</v>
      </c>
      <c r="E28" s="181">
        <f t="shared" si="0"/>
        <v>0</v>
      </c>
    </row>
    <row r="29" spans="1:5">
      <c r="A29" s="23" t="s">
        <v>155</v>
      </c>
      <c r="B29" s="23" t="s">
        <v>1617</v>
      </c>
      <c r="C29" s="178">
        <v>7747</v>
      </c>
      <c r="D29" s="178">
        <v>0</v>
      </c>
      <c r="E29" s="181">
        <f t="shared" si="0"/>
        <v>7747</v>
      </c>
    </row>
    <row r="30" spans="1:5">
      <c r="A30" s="23" t="s">
        <v>1050</v>
      </c>
      <c r="B30" s="23" t="s">
        <v>1618</v>
      </c>
      <c r="C30" s="178">
        <v>0</v>
      </c>
      <c r="D30" s="178">
        <v>0</v>
      </c>
      <c r="E30" s="181">
        <f t="shared" si="0"/>
        <v>0</v>
      </c>
    </row>
    <row r="31" spans="1:5">
      <c r="A31" s="23" t="s">
        <v>281</v>
      </c>
      <c r="B31" s="23" t="s">
        <v>1619</v>
      </c>
      <c r="C31" s="178">
        <v>512933</v>
      </c>
      <c r="D31" s="178">
        <v>42949</v>
      </c>
      <c r="E31" s="181">
        <f t="shared" si="0"/>
        <v>555882</v>
      </c>
    </row>
    <row r="32" spans="1:5">
      <c r="A32" s="23" t="s">
        <v>283</v>
      </c>
      <c r="B32" s="23" t="s">
        <v>1370</v>
      </c>
      <c r="C32" s="178">
        <v>0</v>
      </c>
      <c r="D32" s="178">
        <v>0</v>
      </c>
      <c r="E32" s="181">
        <f t="shared" si="0"/>
        <v>0</v>
      </c>
    </row>
    <row r="33" spans="1:5">
      <c r="A33" s="23" t="s">
        <v>285</v>
      </c>
      <c r="B33" s="23" t="s">
        <v>1371</v>
      </c>
      <c r="C33" s="178">
        <v>181946</v>
      </c>
      <c r="D33" s="178">
        <v>15234</v>
      </c>
      <c r="E33" s="181">
        <f t="shared" si="0"/>
        <v>197180</v>
      </c>
    </row>
    <row r="34" spans="1:5">
      <c r="A34" s="23" t="s">
        <v>287</v>
      </c>
      <c r="B34" s="23" t="s">
        <v>1620</v>
      </c>
      <c r="C34" s="178">
        <v>0</v>
      </c>
      <c r="D34" s="178">
        <v>11023</v>
      </c>
      <c r="E34" s="181">
        <f t="shared" si="0"/>
        <v>11023</v>
      </c>
    </row>
    <row r="35" spans="1:5">
      <c r="A35" s="23" t="s">
        <v>289</v>
      </c>
      <c r="B35" s="23" t="s">
        <v>1372</v>
      </c>
      <c r="C35" s="178">
        <v>175535</v>
      </c>
      <c r="D35" s="178">
        <v>19940</v>
      </c>
      <c r="E35" s="181">
        <f t="shared" si="0"/>
        <v>195475</v>
      </c>
    </row>
    <row r="36" spans="1:5">
      <c r="A36" s="23" t="s">
        <v>291</v>
      </c>
      <c r="B36" s="23" t="s">
        <v>1621</v>
      </c>
      <c r="C36" s="178">
        <v>9198</v>
      </c>
      <c r="D36" s="178">
        <v>1575</v>
      </c>
      <c r="E36" s="181">
        <f t="shared" si="0"/>
        <v>10773</v>
      </c>
    </row>
    <row r="37" spans="1:5">
      <c r="A37" s="23" t="s">
        <v>19</v>
      </c>
      <c r="B37" s="23" t="s">
        <v>1622</v>
      </c>
      <c r="C37" s="178">
        <v>0</v>
      </c>
      <c r="D37" s="178">
        <v>0</v>
      </c>
      <c r="E37" s="181">
        <f t="shared" si="0"/>
        <v>0</v>
      </c>
    </row>
    <row r="38" spans="1:5">
      <c r="A38" s="23" t="s">
        <v>21</v>
      </c>
      <c r="B38" s="23" t="s">
        <v>1373</v>
      </c>
      <c r="C38" s="178">
        <v>127426</v>
      </c>
      <c r="D38" s="178">
        <v>612</v>
      </c>
      <c r="E38" s="181">
        <f t="shared" si="0"/>
        <v>128038</v>
      </c>
    </row>
    <row r="39" spans="1:5">
      <c r="A39" s="23" t="s">
        <v>23</v>
      </c>
      <c r="B39" s="23" t="s">
        <v>1490</v>
      </c>
      <c r="C39" s="178">
        <v>38388</v>
      </c>
      <c r="D39" s="178">
        <v>0</v>
      </c>
      <c r="E39" s="181">
        <f t="shared" si="0"/>
        <v>38388</v>
      </c>
    </row>
    <row r="40" spans="1:5">
      <c r="A40" s="23" t="s">
        <v>25</v>
      </c>
      <c r="B40" s="23" t="s">
        <v>1374</v>
      </c>
      <c r="C40" s="178">
        <v>0</v>
      </c>
      <c r="D40" s="178">
        <v>0</v>
      </c>
      <c r="E40" s="181">
        <f t="shared" si="0"/>
        <v>0</v>
      </c>
    </row>
    <row r="41" spans="1:5">
      <c r="A41" s="23" t="s">
        <v>27</v>
      </c>
      <c r="B41" s="23" t="s">
        <v>1623</v>
      </c>
      <c r="C41" s="178">
        <v>0</v>
      </c>
      <c r="D41" s="178">
        <v>0</v>
      </c>
      <c r="E41" s="181">
        <f t="shared" si="0"/>
        <v>0</v>
      </c>
    </row>
    <row r="42" spans="1:5">
      <c r="A42" s="23" t="s">
        <v>29</v>
      </c>
      <c r="B42" s="23" t="s">
        <v>1624</v>
      </c>
      <c r="C42" s="178">
        <v>5</v>
      </c>
      <c r="D42" s="178">
        <v>32</v>
      </c>
      <c r="E42" s="181">
        <f t="shared" si="0"/>
        <v>37</v>
      </c>
    </row>
    <row r="43" spans="1:5">
      <c r="A43" s="23" t="s">
        <v>148</v>
      </c>
      <c r="B43" s="23" t="s">
        <v>1625</v>
      </c>
      <c r="C43" s="178">
        <v>0</v>
      </c>
      <c r="D43" s="178">
        <v>0</v>
      </c>
      <c r="E43" s="181">
        <f t="shared" si="0"/>
        <v>0</v>
      </c>
    </row>
    <row r="44" spans="1:5">
      <c r="A44" s="23" t="s">
        <v>150</v>
      </c>
      <c r="B44" s="23" t="s">
        <v>1626</v>
      </c>
      <c r="C44" s="178">
        <v>0</v>
      </c>
      <c r="D44" s="178">
        <v>0</v>
      </c>
      <c r="E44" s="181">
        <f t="shared" si="0"/>
        <v>0</v>
      </c>
    </row>
    <row r="45" spans="1:5">
      <c r="A45" s="23" t="s">
        <v>133</v>
      </c>
      <c r="B45" s="23" t="s">
        <v>1375</v>
      </c>
      <c r="C45" s="178">
        <v>0</v>
      </c>
      <c r="D45" s="178">
        <v>4205</v>
      </c>
      <c r="E45" s="181">
        <f t="shared" si="0"/>
        <v>4205</v>
      </c>
    </row>
    <row r="46" spans="1:5">
      <c r="A46" s="23" t="s">
        <v>134</v>
      </c>
      <c r="B46" s="23" t="s">
        <v>1627</v>
      </c>
      <c r="C46" s="178">
        <v>0</v>
      </c>
      <c r="D46" s="178">
        <v>0</v>
      </c>
      <c r="E46" s="181">
        <f t="shared" si="0"/>
        <v>0</v>
      </c>
    </row>
    <row r="47" spans="1:5">
      <c r="A47" s="23" t="s">
        <v>136</v>
      </c>
      <c r="B47" s="23" t="s">
        <v>1491</v>
      </c>
      <c r="C47" s="178">
        <v>0</v>
      </c>
      <c r="D47" s="178">
        <v>0</v>
      </c>
      <c r="E47" s="181">
        <f t="shared" si="0"/>
        <v>0</v>
      </c>
    </row>
    <row r="48" spans="1:5">
      <c r="A48" s="23" t="s">
        <v>138</v>
      </c>
      <c r="B48" s="23" t="s">
        <v>1628</v>
      </c>
      <c r="C48" s="178">
        <v>0</v>
      </c>
      <c r="D48" s="178">
        <v>0</v>
      </c>
      <c r="E48" s="181">
        <f t="shared" si="0"/>
        <v>0</v>
      </c>
    </row>
    <row r="49" spans="1:5">
      <c r="A49" s="23" t="s">
        <v>140</v>
      </c>
      <c r="B49" s="23" t="s">
        <v>1376</v>
      </c>
      <c r="C49" s="178">
        <v>0</v>
      </c>
      <c r="D49" s="178">
        <v>0</v>
      </c>
      <c r="E49" s="181">
        <f t="shared" si="0"/>
        <v>0</v>
      </c>
    </row>
    <row r="50" spans="1:5">
      <c r="A50" s="23" t="s">
        <v>142</v>
      </c>
      <c r="B50" s="23" t="s">
        <v>1629</v>
      </c>
      <c r="C50" s="178">
        <v>0</v>
      </c>
      <c r="D50" s="178">
        <v>0</v>
      </c>
      <c r="E50" s="181">
        <f t="shared" si="0"/>
        <v>0</v>
      </c>
    </row>
    <row r="51" spans="1:5">
      <c r="A51" s="23" t="s">
        <v>143</v>
      </c>
      <c r="B51" s="23" t="s">
        <v>1630</v>
      </c>
      <c r="C51" s="178">
        <v>0</v>
      </c>
      <c r="D51" s="178">
        <v>0</v>
      </c>
      <c r="E51" s="181">
        <f t="shared" si="0"/>
        <v>0</v>
      </c>
    </row>
    <row r="52" spans="1:5">
      <c r="A52" s="23" t="s">
        <v>12</v>
      </c>
      <c r="B52" s="23" t="s">
        <v>1465</v>
      </c>
      <c r="C52" s="178">
        <v>0</v>
      </c>
      <c r="D52" s="178">
        <v>0</v>
      </c>
      <c r="E52" s="181">
        <f t="shared" si="0"/>
        <v>0</v>
      </c>
    </row>
    <row r="53" spans="1:5">
      <c r="A53" s="23" t="s">
        <v>145</v>
      </c>
      <c r="B53" s="23" t="s">
        <v>1466</v>
      </c>
      <c r="C53" s="178">
        <v>0</v>
      </c>
      <c r="D53" s="178">
        <v>304</v>
      </c>
      <c r="E53" s="181">
        <f t="shared" si="0"/>
        <v>304</v>
      </c>
    </row>
    <row r="54" spans="1:5">
      <c r="A54" s="23" t="s">
        <v>402</v>
      </c>
      <c r="B54" s="23" t="s">
        <v>1631</v>
      </c>
      <c r="C54" s="178">
        <v>0</v>
      </c>
      <c r="D54" s="178">
        <v>0</v>
      </c>
      <c r="E54" s="181">
        <f t="shared" si="0"/>
        <v>0</v>
      </c>
    </row>
    <row r="55" spans="1:5">
      <c r="A55" s="23" t="s">
        <v>404</v>
      </c>
      <c r="B55" s="23" t="s">
        <v>1377</v>
      </c>
      <c r="C55" s="178">
        <v>14306</v>
      </c>
      <c r="D55" s="178">
        <v>142</v>
      </c>
      <c r="E55" s="181">
        <f t="shared" si="0"/>
        <v>14448</v>
      </c>
    </row>
    <row r="56" spans="1:5">
      <c r="A56" s="23" t="s">
        <v>406</v>
      </c>
      <c r="B56" s="23" t="s">
        <v>1378</v>
      </c>
      <c r="C56" s="178">
        <v>0</v>
      </c>
      <c r="D56" s="178">
        <v>0</v>
      </c>
      <c r="E56" s="181">
        <f t="shared" si="0"/>
        <v>0</v>
      </c>
    </row>
    <row r="57" spans="1:5">
      <c r="A57" s="23" t="s">
        <v>224</v>
      </c>
      <c r="B57" s="23" t="s">
        <v>1379</v>
      </c>
      <c r="C57" s="178">
        <v>0</v>
      </c>
      <c r="D57" s="178">
        <v>1673</v>
      </c>
      <c r="E57" s="181">
        <f t="shared" si="0"/>
        <v>1673</v>
      </c>
    </row>
    <row r="58" spans="1:5">
      <c r="A58" s="23" t="s">
        <v>226</v>
      </c>
      <c r="B58" s="23" t="s">
        <v>1632</v>
      </c>
      <c r="C58" s="178">
        <v>0</v>
      </c>
      <c r="D58" s="178">
        <v>0</v>
      </c>
      <c r="E58" s="181">
        <f t="shared" si="0"/>
        <v>0</v>
      </c>
    </row>
    <row r="59" spans="1:5">
      <c r="A59" s="23" t="s">
        <v>355</v>
      </c>
      <c r="B59" s="23" t="s">
        <v>1380</v>
      </c>
      <c r="C59" s="178">
        <v>91285</v>
      </c>
      <c r="D59" s="178">
        <v>0</v>
      </c>
      <c r="E59" s="181">
        <f t="shared" si="0"/>
        <v>91285</v>
      </c>
    </row>
    <row r="60" spans="1:5">
      <c r="A60" s="23" t="s">
        <v>357</v>
      </c>
      <c r="B60" s="23" t="s">
        <v>1633</v>
      </c>
      <c r="C60" s="178">
        <v>56944</v>
      </c>
      <c r="D60" s="178">
        <v>4769</v>
      </c>
      <c r="E60" s="181">
        <f t="shared" si="0"/>
        <v>61713</v>
      </c>
    </row>
    <row r="61" spans="1:5">
      <c r="A61" s="23" t="s">
        <v>230</v>
      </c>
      <c r="B61" s="23" t="s">
        <v>1634</v>
      </c>
      <c r="C61" s="178">
        <v>68030</v>
      </c>
      <c r="D61" s="178">
        <v>0</v>
      </c>
      <c r="E61" s="181">
        <f t="shared" si="0"/>
        <v>68030</v>
      </c>
    </row>
    <row r="62" spans="1:5">
      <c r="A62" s="23" t="s">
        <v>231</v>
      </c>
      <c r="B62" s="23" t="s">
        <v>1381</v>
      </c>
      <c r="C62" s="178">
        <v>89401</v>
      </c>
      <c r="D62" s="178">
        <v>5777</v>
      </c>
      <c r="E62" s="181">
        <f t="shared" si="0"/>
        <v>95178</v>
      </c>
    </row>
    <row r="63" spans="1:5">
      <c r="A63" s="23" t="s">
        <v>232</v>
      </c>
      <c r="B63" s="23" t="s">
        <v>1382</v>
      </c>
      <c r="C63" s="178">
        <v>143560</v>
      </c>
      <c r="D63" s="178">
        <v>0</v>
      </c>
      <c r="E63" s="181">
        <f t="shared" si="0"/>
        <v>143560</v>
      </c>
    </row>
    <row r="64" spans="1:5">
      <c r="A64" s="179" t="s">
        <v>234</v>
      </c>
      <c r="B64" s="23" t="s">
        <v>1467</v>
      </c>
      <c r="C64" s="178">
        <v>0</v>
      </c>
      <c r="D64" s="178">
        <v>0</v>
      </c>
      <c r="E64" s="181">
        <f t="shared" si="0"/>
        <v>0</v>
      </c>
    </row>
    <row r="65" spans="1:5">
      <c r="A65" s="23" t="s">
        <v>236</v>
      </c>
      <c r="B65" s="23" t="s">
        <v>1635</v>
      </c>
      <c r="C65" s="178">
        <v>0</v>
      </c>
      <c r="D65" s="178">
        <v>0</v>
      </c>
      <c r="E65" s="181">
        <f t="shared" si="0"/>
        <v>0</v>
      </c>
    </row>
    <row r="66" spans="1:5">
      <c r="A66" s="23" t="s">
        <v>238</v>
      </c>
      <c r="B66" s="23" t="s">
        <v>1636</v>
      </c>
      <c r="C66" s="178">
        <v>0</v>
      </c>
      <c r="D66" s="178">
        <v>0</v>
      </c>
      <c r="E66" s="181">
        <f t="shared" si="0"/>
        <v>0</v>
      </c>
    </row>
    <row r="67" spans="1:5">
      <c r="A67" s="23"/>
      <c r="B67" s="1" t="s">
        <v>2078</v>
      </c>
      <c r="C67" s="178">
        <v>0</v>
      </c>
      <c r="D67" s="178">
        <v>0</v>
      </c>
      <c r="E67" s="181">
        <f t="shared" si="0"/>
        <v>0</v>
      </c>
    </row>
    <row r="68" spans="1:5">
      <c r="A68" s="23" t="s">
        <v>240</v>
      </c>
      <c r="B68" s="23" t="s">
        <v>1637</v>
      </c>
      <c r="C68" s="178">
        <v>16975</v>
      </c>
      <c r="D68" s="178">
        <v>1169</v>
      </c>
      <c r="E68" s="181">
        <f t="shared" si="0"/>
        <v>18144</v>
      </c>
    </row>
    <row r="69" spans="1:5">
      <c r="A69" s="23" t="s">
        <v>409</v>
      </c>
      <c r="B69" s="23" t="s">
        <v>1383</v>
      </c>
      <c r="C69" s="178">
        <v>1328</v>
      </c>
      <c r="D69" s="178">
        <v>0</v>
      </c>
      <c r="E69" s="181">
        <f t="shared" ref="E69:E132" si="1">C69+D69</f>
        <v>1328</v>
      </c>
    </row>
    <row r="70" spans="1:5">
      <c r="A70" s="23" t="s">
        <v>411</v>
      </c>
      <c r="B70" s="23" t="s">
        <v>1638</v>
      </c>
      <c r="C70" s="178">
        <v>0</v>
      </c>
      <c r="D70" s="178">
        <v>0</v>
      </c>
      <c r="E70" s="181">
        <f t="shared" si="1"/>
        <v>0</v>
      </c>
    </row>
    <row r="71" spans="1:5">
      <c r="A71" s="23" t="s">
        <v>413</v>
      </c>
      <c r="B71" s="23" t="s">
        <v>1384</v>
      </c>
      <c r="C71" s="178">
        <v>0</v>
      </c>
      <c r="D71" s="178">
        <v>0</v>
      </c>
      <c r="E71" s="181">
        <f t="shared" si="1"/>
        <v>0</v>
      </c>
    </row>
    <row r="72" spans="1:5">
      <c r="A72" s="23" t="s">
        <v>415</v>
      </c>
      <c r="B72" s="23" t="s">
        <v>1385</v>
      </c>
      <c r="C72" s="178">
        <v>173340</v>
      </c>
      <c r="D72" s="178">
        <v>13712</v>
      </c>
      <c r="E72" s="181">
        <f t="shared" si="1"/>
        <v>187052</v>
      </c>
    </row>
    <row r="73" spans="1:5">
      <c r="A73" s="23" t="s">
        <v>417</v>
      </c>
      <c r="B73" s="23" t="s">
        <v>1468</v>
      </c>
      <c r="C73" s="178">
        <v>11031</v>
      </c>
      <c r="D73" s="178">
        <v>0</v>
      </c>
      <c r="E73" s="181">
        <f t="shared" si="1"/>
        <v>11031</v>
      </c>
    </row>
    <row r="74" spans="1:5">
      <c r="A74" s="23" t="s">
        <v>419</v>
      </c>
      <c r="B74" s="23" t="s">
        <v>1639</v>
      </c>
      <c r="C74" s="178">
        <v>0</v>
      </c>
      <c r="D74" s="178">
        <v>0</v>
      </c>
      <c r="E74" s="181">
        <f t="shared" si="1"/>
        <v>0</v>
      </c>
    </row>
    <row r="75" spans="1:5">
      <c r="A75" s="23" t="s">
        <v>513</v>
      </c>
      <c r="B75" s="23" t="s">
        <v>1640</v>
      </c>
      <c r="C75" s="178">
        <v>406428</v>
      </c>
      <c r="D75" s="178">
        <v>80719</v>
      </c>
      <c r="E75" s="181">
        <f t="shared" si="1"/>
        <v>487147</v>
      </c>
    </row>
    <row r="76" spans="1:5">
      <c r="A76" s="23" t="s">
        <v>515</v>
      </c>
      <c r="B76" s="23" t="s">
        <v>1641</v>
      </c>
      <c r="C76" s="178">
        <v>274987</v>
      </c>
      <c r="D76" s="178">
        <v>93123</v>
      </c>
      <c r="E76" s="181">
        <f t="shared" si="1"/>
        <v>368110</v>
      </c>
    </row>
    <row r="77" spans="1:5">
      <c r="A77" s="23" t="s">
        <v>516</v>
      </c>
      <c r="B77" s="23" t="s">
        <v>1642</v>
      </c>
      <c r="C77" s="178">
        <v>0</v>
      </c>
      <c r="D77" s="178">
        <v>0</v>
      </c>
      <c r="E77" s="181">
        <f t="shared" si="1"/>
        <v>0</v>
      </c>
    </row>
    <row r="78" spans="1:5">
      <c r="A78" s="23" t="s">
        <v>517</v>
      </c>
      <c r="B78" s="23" t="s">
        <v>1643</v>
      </c>
      <c r="C78" s="178">
        <v>0</v>
      </c>
      <c r="D78" s="178">
        <v>0</v>
      </c>
      <c r="E78" s="181">
        <f t="shared" si="1"/>
        <v>0</v>
      </c>
    </row>
    <row r="79" spans="1:5">
      <c r="A79" s="23" t="s">
        <v>420</v>
      </c>
      <c r="B79" s="23" t="s">
        <v>1386</v>
      </c>
      <c r="C79" s="178">
        <v>176579</v>
      </c>
      <c r="D79" s="178">
        <v>17362</v>
      </c>
      <c r="E79" s="181">
        <f t="shared" si="1"/>
        <v>193941</v>
      </c>
    </row>
    <row r="80" spans="1:5">
      <c r="A80" s="23" t="s">
        <v>422</v>
      </c>
      <c r="B80" s="23" t="s">
        <v>1644</v>
      </c>
      <c r="C80" s="178">
        <v>105284</v>
      </c>
      <c r="D80" s="178">
        <v>14866</v>
      </c>
      <c r="E80" s="181">
        <f t="shared" si="1"/>
        <v>120150</v>
      </c>
    </row>
    <row r="81" spans="1:5">
      <c r="A81" s="23" t="s">
        <v>424</v>
      </c>
      <c r="B81" s="23" t="s">
        <v>1469</v>
      </c>
      <c r="C81" s="178">
        <v>0</v>
      </c>
      <c r="D81" s="178">
        <v>0</v>
      </c>
      <c r="E81" s="181">
        <f t="shared" si="1"/>
        <v>0</v>
      </c>
    </row>
    <row r="82" spans="1:5">
      <c r="A82" s="23" t="s">
        <v>426</v>
      </c>
      <c r="B82" s="23" t="s">
        <v>1470</v>
      </c>
      <c r="C82" s="178">
        <v>96037</v>
      </c>
      <c r="D82" s="178">
        <v>32095</v>
      </c>
      <c r="E82" s="181">
        <f t="shared" si="1"/>
        <v>128132</v>
      </c>
    </row>
    <row r="83" spans="1:5">
      <c r="A83" s="23" t="s">
        <v>428</v>
      </c>
      <c r="B83" s="23" t="s">
        <v>1387</v>
      </c>
      <c r="C83" s="178">
        <v>0</v>
      </c>
      <c r="D83" s="178">
        <v>0</v>
      </c>
      <c r="E83" s="181">
        <f t="shared" si="1"/>
        <v>0</v>
      </c>
    </row>
    <row r="84" spans="1:5">
      <c r="A84" s="23" t="s">
        <v>430</v>
      </c>
      <c r="B84" s="23" t="s">
        <v>1645</v>
      </c>
      <c r="C84" s="178">
        <v>0</v>
      </c>
      <c r="D84" s="178">
        <v>0</v>
      </c>
      <c r="E84" s="181">
        <f t="shared" si="1"/>
        <v>0</v>
      </c>
    </row>
    <row r="85" spans="1:5">
      <c r="A85" s="23" t="s">
        <v>436</v>
      </c>
      <c r="B85" s="23" t="s">
        <v>1646</v>
      </c>
      <c r="C85" s="178">
        <v>0</v>
      </c>
      <c r="D85" s="178">
        <v>0</v>
      </c>
      <c r="E85" s="181">
        <f t="shared" si="1"/>
        <v>0</v>
      </c>
    </row>
    <row r="86" spans="1:5">
      <c r="A86" s="23" t="s">
        <v>219</v>
      </c>
      <c r="B86" s="23" t="s">
        <v>1647</v>
      </c>
      <c r="C86" s="178">
        <v>156003</v>
      </c>
      <c r="D86" s="178">
        <v>15820</v>
      </c>
      <c r="E86" s="181">
        <f t="shared" si="1"/>
        <v>171823</v>
      </c>
    </row>
    <row r="87" spans="1:5">
      <c r="A87" s="23" t="s">
        <v>221</v>
      </c>
      <c r="B87" s="23" t="s">
        <v>1648</v>
      </c>
      <c r="C87" s="178">
        <v>40575</v>
      </c>
      <c r="D87" s="178">
        <v>6417</v>
      </c>
      <c r="E87" s="181">
        <f t="shared" si="1"/>
        <v>46992</v>
      </c>
    </row>
    <row r="88" spans="1:5">
      <c r="A88" s="23" t="s">
        <v>313</v>
      </c>
      <c r="B88" s="23" t="s">
        <v>1649</v>
      </c>
      <c r="C88" s="178">
        <v>0</v>
      </c>
      <c r="D88" s="178">
        <v>0</v>
      </c>
      <c r="E88" s="181">
        <f t="shared" si="1"/>
        <v>0</v>
      </c>
    </row>
    <row r="89" spans="1:5">
      <c r="A89" s="23" t="s">
        <v>439</v>
      </c>
      <c r="B89" s="23" t="s">
        <v>1471</v>
      </c>
      <c r="C89" s="178">
        <v>0</v>
      </c>
      <c r="D89" s="178">
        <v>0</v>
      </c>
      <c r="E89" s="181">
        <f t="shared" si="1"/>
        <v>0</v>
      </c>
    </row>
    <row r="90" spans="1:5">
      <c r="A90" s="23" t="s">
        <v>441</v>
      </c>
      <c r="B90" s="23" t="s">
        <v>1650</v>
      </c>
      <c r="C90" s="178">
        <v>0</v>
      </c>
      <c r="D90" s="178">
        <v>0</v>
      </c>
      <c r="E90" s="181">
        <f t="shared" si="1"/>
        <v>0</v>
      </c>
    </row>
    <row r="91" spans="1:5">
      <c r="A91" s="23" t="s">
        <v>445</v>
      </c>
      <c r="B91" s="23" t="s">
        <v>1388</v>
      </c>
      <c r="C91" s="178">
        <v>2262</v>
      </c>
      <c r="D91" s="178">
        <v>2153</v>
      </c>
      <c r="E91" s="181">
        <f t="shared" si="1"/>
        <v>4415</v>
      </c>
    </row>
    <row r="92" spans="1:5">
      <c r="A92" s="23" t="s">
        <v>447</v>
      </c>
      <c r="B92" s="23" t="s">
        <v>1389</v>
      </c>
      <c r="C92" s="178">
        <v>0</v>
      </c>
      <c r="D92" s="178">
        <v>0</v>
      </c>
      <c r="E92" s="181">
        <f t="shared" si="1"/>
        <v>0</v>
      </c>
    </row>
    <row r="93" spans="1:5">
      <c r="A93" s="23" t="s">
        <v>449</v>
      </c>
      <c r="B93" s="23" t="s">
        <v>1390</v>
      </c>
      <c r="C93" s="178">
        <v>6621</v>
      </c>
      <c r="D93" s="178">
        <v>4760</v>
      </c>
      <c r="E93" s="181">
        <f t="shared" si="1"/>
        <v>11381</v>
      </c>
    </row>
    <row r="94" spans="1:5">
      <c r="A94" s="23" t="s">
        <v>332</v>
      </c>
      <c r="B94" s="23" t="s">
        <v>1651</v>
      </c>
      <c r="C94" s="178">
        <v>153556</v>
      </c>
      <c r="D94" s="178">
        <v>2750</v>
      </c>
      <c r="E94" s="181">
        <f t="shared" si="1"/>
        <v>156306</v>
      </c>
    </row>
    <row r="95" spans="1:5">
      <c r="A95" s="23" t="s">
        <v>334</v>
      </c>
      <c r="B95" s="23" t="s">
        <v>1652</v>
      </c>
      <c r="C95" s="178">
        <v>0</v>
      </c>
      <c r="D95" s="178">
        <v>0</v>
      </c>
      <c r="E95" s="181">
        <f t="shared" si="1"/>
        <v>0</v>
      </c>
    </row>
    <row r="96" spans="1:5">
      <c r="A96" s="23" t="s">
        <v>336</v>
      </c>
      <c r="B96" s="23" t="s">
        <v>1653</v>
      </c>
      <c r="C96" s="178">
        <v>0</v>
      </c>
      <c r="D96" s="178">
        <v>0</v>
      </c>
      <c r="E96" s="181">
        <f t="shared" si="1"/>
        <v>0</v>
      </c>
    </row>
    <row r="97" spans="1:5">
      <c r="A97" s="23" t="s">
        <v>338</v>
      </c>
      <c r="B97" s="23" t="s">
        <v>1654</v>
      </c>
      <c r="C97" s="178">
        <v>80456</v>
      </c>
      <c r="D97" s="178">
        <v>6736</v>
      </c>
      <c r="E97" s="181">
        <f t="shared" si="1"/>
        <v>87192</v>
      </c>
    </row>
    <row r="98" spans="1:5">
      <c r="A98" s="127" t="s">
        <v>1509</v>
      </c>
      <c r="B98" s="1" t="s">
        <v>2079</v>
      </c>
      <c r="C98" s="178">
        <v>0</v>
      </c>
      <c r="D98" s="178">
        <v>0</v>
      </c>
      <c r="E98" s="181">
        <f t="shared" si="1"/>
        <v>0</v>
      </c>
    </row>
    <row r="99" spans="1:5">
      <c r="A99" s="23" t="s">
        <v>964</v>
      </c>
      <c r="B99" s="23" t="s">
        <v>1655</v>
      </c>
      <c r="C99" s="178">
        <v>0</v>
      </c>
      <c r="D99" s="178">
        <v>0</v>
      </c>
      <c r="E99" s="181">
        <f t="shared" si="1"/>
        <v>0</v>
      </c>
    </row>
    <row r="100" spans="1:5">
      <c r="A100" s="23" t="s">
        <v>1051</v>
      </c>
      <c r="B100" s="23" t="s">
        <v>1656</v>
      </c>
      <c r="C100" s="178">
        <v>6168</v>
      </c>
      <c r="D100" s="178">
        <v>0</v>
      </c>
      <c r="E100" s="181">
        <f t="shared" si="1"/>
        <v>6168</v>
      </c>
    </row>
    <row r="101" spans="1:5">
      <c r="A101" s="23" t="s">
        <v>340</v>
      </c>
      <c r="B101" s="23" t="s">
        <v>1657</v>
      </c>
      <c r="C101" s="178">
        <v>0</v>
      </c>
      <c r="D101" s="178">
        <v>0</v>
      </c>
      <c r="E101" s="181">
        <f t="shared" si="1"/>
        <v>0</v>
      </c>
    </row>
    <row r="102" spans="1:5">
      <c r="A102" s="23" t="s">
        <v>342</v>
      </c>
      <c r="B102" s="23" t="s">
        <v>1658</v>
      </c>
      <c r="C102" s="178">
        <v>0</v>
      </c>
      <c r="D102" s="178">
        <v>0</v>
      </c>
      <c r="E102" s="181">
        <f t="shared" si="1"/>
        <v>0</v>
      </c>
    </row>
    <row r="103" spans="1:5">
      <c r="A103" s="23" t="s">
        <v>344</v>
      </c>
      <c r="B103" s="23" t="s">
        <v>1391</v>
      </c>
      <c r="C103" s="178">
        <v>409387</v>
      </c>
      <c r="D103" s="178">
        <v>57758</v>
      </c>
      <c r="E103" s="181">
        <f t="shared" si="1"/>
        <v>467145</v>
      </c>
    </row>
    <row r="104" spans="1:5">
      <c r="A104" s="23" t="s">
        <v>454</v>
      </c>
      <c r="B104" s="23" t="s">
        <v>1392</v>
      </c>
      <c r="C104" s="178">
        <v>0</v>
      </c>
      <c r="D104" s="178">
        <v>0</v>
      </c>
      <c r="E104" s="181">
        <f t="shared" si="1"/>
        <v>0</v>
      </c>
    </row>
    <row r="105" spans="1:5">
      <c r="A105" s="23" t="s">
        <v>456</v>
      </c>
      <c r="B105" s="23" t="s">
        <v>1660</v>
      </c>
      <c r="C105" s="178">
        <v>30287</v>
      </c>
      <c r="D105" s="178">
        <v>0</v>
      </c>
      <c r="E105" s="181">
        <f t="shared" si="1"/>
        <v>30287</v>
      </c>
    </row>
    <row r="106" spans="1:5">
      <c r="A106" s="23" t="s">
        <v>458</v>
      </c>
      <c r="B106" s="23" t="s">
        <v>1393</v>
      </c>
      <c r="C106" s="178">
        <v>420365</v>
      </c>
      <c r="D106" s="178">
        <v>68349</v>
      </c>
      <c r="E106" s="181">
        <f t="shared" si="1"/>
        <v>488714</v>
      </c>
    </row>
    <row r="107" spans="1:5">
      <c r="A107" s="23" t="s">
        <v>460</v>
      </c>
      <c r="B107" s="23" t="s">
        <v>1394</v>
      </c>
      <c r="C107" s="178">
        <v>1214630</v>
      </c>
      <c r="D107" s="178">
        <v>92389</v>
      </c>
      <c r="E107" s="181">
        <f t="shared" si="1"/>
        <v>1307019</v>
      </c>
    </row>
    <row r="108" spans="1:5">
      <c r="A108" s="23" t="s">
        <v>479</v>
      </c>
      <c r="B108" s="23" t="s">
        <v>1395</v>
      </c>
      <c r="C108" s="178">
        <v>33394</v>
      </c>
      <c r="D108" s="178">
        <v>0</v>
      </c>
      <c r="E108" s="181">
        <f t="shared" si="1"/>
        <v>33394</v>
      </c>
    </row>
    <row r="109" spans="1:5">
      <c r="A109" s="23" t="s">
        <v>481</v>
      </c>
      <c r="B109" s="23" t="s">
        <v>1396</v>
      </c>
      <c r="C109" s="178">
        <v>70082</v>
      </c>
      <c r="D109" s="178">
        <v>0</v>
      </c>
      <c r="E109" s="181">
        <f t="shared" si="1"/>
        <v>70082</v>
      </c>
    </row>
    <row r="110" spans="1:5">
      <c r="A110" s="23" t="s">
        <v>482</v>
      </c>
      <c r="B110" s="23" t="s">
        <v>1472</v>
      </c>
      <c r="C110" s="178">
        <v>1</v>
      </c>
      <c r="D110" s="178">
        <v>2527</v>
      </c>
      <c r="E110" s="181">
        <f t="shared" si="1"/>
        <v>2528</v>
      </c>
    </row>
    <row r="111" spans="1:5">
      <c r="A111" s="23" t="s">
        <v>121</v>
      </c>
      <c r="B111" s="23" t="s">
        <v>1397</v>
      </c>
      <c r="C111" s="178">
        <v>234</v>
      </c>
      <c r="D111" s="178">
        <v>0</v>
      </c>
      <c r="E111" s="181">
        <f t="shared" si="1"/>
        <v>234</v>
      </c>
    </row>
    <row r="112" spans="1:5">
      <c r="A112" s="23" t="s">
        <v>295</v>
      </c>
      <c r="B112" s="23" t="s">
        <v>1661</v>
      </c>
      <c r="C112" s="178">
        <v>0</v>
      </c>
      <c r="D112" s="178">
        <v>0</v>
      </c>
      <c r="E112" s="181">
        <f t="shared" si="1"/>
        <v>0</v>
      </c>
    </row>
    <row r="113" spans="1:5">
      <c r="A113" s="23" t="s">
        <v>123</v>
      </c>
      <c r="B113" s="23" t="s">
        <v>1662</v>
      </c>
      <c r="C113" s="178">
        <v>146</v>
      </c>
      <c r="D113" s="178">
        <v>332</v>
      </c>
      <c r="E113" s="181">
        <f t="shared" si="1"/>
        <v>478</v>
      </c>
    </row>
    <row r="114" spans="1:5">
      <c r="A114" s="23" t="s">
        <v>124</v>
      </c>
      <c r="B114" s="23" t="s">
        <v>1398</v>
      </c>
      <c r="C114" s="178">
        <v>63642</v>
      </c>
      <c r="D114" s="178">
        <v>5329</v>
      </c>
      <c r="E114" s="181">
        <f t="shared" si="1"/>
        <v>68971</v>
      </c>
    </row>
    <row r="115" spans="1:5">
      <c r="A115" s="23" t="s">
        <v>126</v>
      </c>
      <c r="B115" s="23" t="s">
        <v>1399</v>
      </c>
      <c r="C115" s="178">
        <v>6318</v>
      </c>
      <c r="D115" s="178">
        <v>1696</v>
      </c>
      <c r="E115" s="181">
        <f t="shared" si="1"/>
        <v>8014</v>
      </c>
    </row>
    <row r="116" spans="1:5">
      <c r="A116" s="23" t="s">
        <v>128</v>
      </c>
      <c r="B116" s="23" t="s">
        <v>1400</v>
      </c>
      <c r="C116" s="178">
        <v>0</v>
      </c>
      <c r="D116" s="178">
        <v>58557</v>
      </c>
      <c r="E116" s="181">
        <f t="shared" si="1"/>
        <v>58557</v>
      </c>
    </row>
    <row r="117" spans="1:5">
      <c r="A117" s="23" t="s">
        <v>130</v>
      </c>
      <c r="B117" s="23" t="s">
        <v>1401</v>
      </c>
      <c r="C117" s="178">
        <v>82729</v>
      </c>
      <c r="D117" s="178">
        <v>6782</v>
      </c>
      <c r="E117" s="181">
        <f t="shared" si="1"/>
        <v>89511</v>
      </c>
    </row>
    <row r="118" spans="1:5">
      <c r="A118" s="23" t="s">
        <v>132</v>
      </c>
      <c r="B118" s="23" t="s">
        <v>1663</v>
      </c>
      <c r="C118" s="178">
        <v>0</v>
      </c>
      <c r="D118" s="178">
        <v>0</v>
      </c>
      <c r="E118" s="181">
        <f t="shared" si="1"/>
        <v>0</v>
      </c>
    </row>
    <row r="119" spans="1:5">
      <c r="A119" s="23" t="s">
        <v>462</v>
      </c>
      <c r="B119" s="23" t="s">
        <v>1664</v>
      </c>
      <c r="C119" s="178">
        <v>23306</v>
      </c>
      <c r="D119" s="178">
        <v>2945</v>
      </c>
      <c r="E119" s="181">
        <f t="shared" si="1"/>
        <v>26251</v>
      </c>
    </row>
    <row r="120" spans="1:5">
      <c r="A120" s="23" t="s">
        <v>464</v>
      </c>
      <c r="B120" s="23" t="s">
        <v>1665</v>
      </c>
      <c r="C120" s="178">
        <v>0</v>
      </c>
      <c r="D120" s="178">
        <v>0</v>
      </c>
      <c r="E120" s="181">
        <f t="shared" si="1"/>
        <v>0</v>
      </c>
    </row>
    <row r="121" spans="1:5">
      <c r="A121" s="23" t="s">
        <v>466</v>
      </c>
      <c r="B121" s="23" t="s">
        <v>1473</v>
      </c>
      <c r="C121" s="178">
        <v>292538</v>
      </c>
      <c r="D121" s="178">
        <v>0</v>
      </c>
      <c r="E121" s="181">
        <f t="shared" si="1"/>
        <v>292538</v>
      </c>
    </row>
    <row r="122" spans="1:5">
      <c r="A122" s="23" t="s">
        <v>468</v>
      </c>
      <c r="B122" s="23" t="s">
        <v>1666</v>
      </c>
      <c r="C122" s="178">
        <v>13162</v>
      </c>
      <c r="D122" s="178">
        <v>1102</v>
      </c>
      <c r="E122" s="181">
        <f t="shared" si="1"/>
        <v>14264</v>
      </c>
    </row>
    <row r="123" spans="1:5">
      <c r="A123" s="23" t="s">
        <v>470</v>
      </c>
      <c r="B123" s="23" t="s">
        <v>1402</v>
      </c>
      <c r="C123" s="178">
        <v>0</v>
      </c>
      <c r="D123" s="178">
        <v>0</v>
      </c>
      <c r="E123" s="181">
        <f t="shared" si="1"/>
        <v>0</v>
      </c>
    </row>
    <row r="124" spans="1:5">
      <c r="A124" s="23" t="s">
        <v>1052</v>
      </c>
      <c r="B124" s="23" t="s">
        <v>1667</v>
      </c>
      <c r="C124" s="178">
        <v>0</v>
      </c>
      <c r="D124" s="178">
        <v>0</v>
      </c>
      <c r="E124" s="181">
        <f t="shared" si="1"/>
        <v>0</v>
      </c>
    </row>
    <row r="125" spans="1:5">
      <c r="A125" s="23" t="s">
        <v>488</v>
      </c>
      <c r="B125" s="23" t="s">
        <v>1403</v>
      </c>
      <c r="C125" s="178">
        <v>193620</v>
      </c>
      <c r="D125" s="178">
        <v>16212</v>
      </c>
      <c r="E125" s="181">
        <f t="shared" si="1"/>
        <v>209832</v>
      </c>
    </row>
    <row r="126" spans="1:5">
      <c r="A126" s="23" t="s">
        <v>490</v>
      </c>
      <c r="B126" s="23" t="s">
        <v>1668</v>
      </c>
      <c r="C126" s="178">
        <v>0</v>
      </c>
      <c r="D126" s="178">
        <v>0</v>
      </c>
      <c r="E126" s="181">
        <f t="shared" si="1"/>
        <v>0</v>
      </c>
    </row>
    <row r="127" spans="1:5">
      <c r="A127" s="23" t="s">
        <v>492</v>
      </c>
      <c r="B127" s="23" t="s">
        <v>1492</v>
      </c>
      <c r="C127" s="178">
        <v>0</v>
      </c>
      <c r="D127" s="178">
        <v>0</v>
      </c>
      <c r="E127" s="181">
        <f t="shared" si="1"/>
        <v>0</v>
      </c>
    </row>
    <row r="128" spans="1:5">
      <c r="A128" s="23" t="s">
        <v>494</v>
      </c>
      <c r="B128" s="23" t="s">
        <v>1404</v>
      </c>
      <c r="C128" s="178">
        <v>1246</v>
      </c>
      <c r="D128" s="178">
        <v>105</v>
      </c>
      <c r="E128" s="181">
        <f t="shared" si="1"/>
        <v>1351</v>
      </c>
    </row>
    <row r="129" spans="1:5">
      <c r="A129" s="23" t="s">
        <v>496</v>
      </c>
      <c r="B129" s="23" t="s">
        <v>1405</v>
      </c>
      <c r="C129" s="178">
        <v>92360</v>
      </c>
      <c r="D129" s="178">
        <v>7734</v>
      </c>
      <c r="E129" s="181">
        <f t="shared" si="1"/>
        <v>100094</v>
      </c>
    </row>
    <row r="130" spans="1:5">
      <c r="A130" s="23" t="s">
        <v>497</v>
      </c>
      <c r="B130" s="23" t="s">
        <v>1669</v>
      </c>
      <c r="C130" s="178">
        <v>0</v>
      </c>
      <c r="D130" s="178">
        <v>0</v>
      </c>
      <c r="E130" s="181">
        <f t="shared" si="1"/>
        <v>0</v>
      </c>
    </row>
    <row r="131" spans="1:5">
      <c r="A131" s="23" t="s">
        <v>499</v>
      </c>
      <c r="B131" s="23" t="s">
        <v>1406</v>
      </c>
      <c r="C131" s="178">
        <v>248716</v>
      </c>
      <c r="D131" s="178">
        <v>5650</v>
      </c>
      <c r="E131" s="181">
        <f t="shared" si="1"/>
        <v>254366</v>
      </c>
    </row>
    <row r="132" spans="1:5">
      <c r="A132" s="23" t="s">
        <v>38</v>
      </c>
      <c r="B132" s="23" t="s">
        <v>1670</v>
      </c>
      <c r="C132" s="178">
        <v>13722</v>
      </c>
      <c r="D132" s="178">
        <v>1149</v>
      </c>
      <c r="E132" s="181">
        <f t="shared" si="1"/>
        <v>14871</v>
      </c>
    </row>
    <row r="133" spans="1:5">
      <c r="A133" s="23" t="s">
        <v>39</v>
      </c>
      <c r="B133" s="23" t="s">
        <v>1493</v>
      </c>
      <c r="C133" s="178">
        <v>133126</v>
      </c>
      <c r="D133" s="178">
        <v>33899</v>
      </c>
      <c r="E133" s="181">
        <f t="shared" ref="E133:E196" si="2">C133+D133</f>
        <v>167025</v>
      </c>
    </row>
    <row r="134" spans="1:5">
      <c r="A134" s="23" t="s">
        <v>41</v>
      </c>
      <c r="B134" s="23" t="s">
        <v>1671</v>
      </c>
      <c r="C134" s="178">
        <v>81458</v>
      </c>
      <c r="D134" s="178">
        <v>6821</v>
      </c>
      <c r="E134" s="181">
        <f t="shared" si="2"/>
        <v>88279</v>
      </c>
    </row>
    <row r="135" spans="1:5">
      <c r="A135" s="23" t="s">
        <v>43</v>
      </c>
      <c r="B135" s="23" t="s">
        <v>1407</v>
      </c>
      <c r="C135" s="178">
        <v>59856</v>
      </c>
      <c r="D135" s="178">
        <v>16057</v>
      </c>
      <c r="E135" s="181">
        <f t="shared" si="2"/>
        <v>75913</v>
      </c>
    </row>
    <row r="136" spans="1:5">
      <c r="A136" s="23" t="s">
        <v>45</v>
      </c>
      <c r="B136" s="23" t="s">
        <v>1672</v>
      </c>
      <c r="C136" s="178">
        <v>42652</v>
      </c>
      <c r="D136" s="178">
        <v>6802</v>
      </c>
      <c r="E136" s="181">
        <f t="shared" si="2"/>
        <v>49454</v>
      </c>
    </row>
    <row r="137" spans="1:5">
      <c r="A137" s="23" t="s">
        <v>71</v>
      </c>
      <c r="B137" s="23" t="s">
        <v>1673</v>
      </c>
      <c r="C137" s="178">
        <v>104549</v>
      </c>
      <c r="D137" s="178">
        <v>23467</v>
      </c>
      <c r="E137" s="181">
        <f t="shared" si="2"/>
        <v>128016</v>
      </c>
    </row>
    <row r="138" spans="1:5">
      <c r="A138" s="23" t="s">
        <v>73</v>
      </c>
      <c r="B138" s="23" t="s">
        <v>1674</v>
      </c>
      <c r="C138" s="178">
        <v>46501</v>
      </c>
      <c r="D138" s="178">
        <v>0</v>
      </c>
      <c r="E138" s="181">
        <f t="shared" si="2"/>
        <v>46501</v>
      </c>
    </row>
    <row r="139" spans="1:5">
      <c r="A139" s="23" t="s">
        <v>75</v>
      </c>
      <c r="B139" s="23" t="s">
        <v>1675</v>
      </c>
      <c r="C139" s="178">
        <v>11312</v>
      </c>
      <c r="D139" s="178">
        <v>1325</v>
      </c>
      <c r="E139" s="181">
        <f t="shared" si="2"/>
        <v>12637</v>
      </c>
    </row>
    <row r="140" spans="1:5">
      <c r="A140" s="23" t="s">
        <v>205</v>
      </c>
      <c r="B140" s="23" t="s">
        <v>1474</v>
      </c>
      <c r="C140" s="178">
        <v>0</v>
      </c>
      <c r="D140" s="178">
        <v>500</v>
      </c>
      <c r="E140" s="181">
        <f t="shared" si="2"/>
        <v>500</v>
      </c>
    </row>
    <row r="141" spans="1:5">
      <c r="A141" s="23" t="s">
        <v>207</v>
      </c>
      <c r="B141" s="23" t="s">
        <v>1494</v>
      </c>
      <c r="C141" s="178">
        <v>16218</v>
      </c>
      <c r="D141" s="178">
        <v>1191</v>
      </c>
      <c r="E141" s="181">
        <f t="shared" si="2"/>
        <v>17409</v>
      </c>
    </row>
    <row r="142" spans="1:5">
      <c r="A142" s="23" t="s">
        <v>209</v>
      </c>
      <c r="B142" s="23" t="s">
        <v>1676</v>
      </c>
      <c r="C142" s="178">
        <v>0</v>
      </c>
      <c r="D142" s="178">
        <v>0</v>
      </c>
      <c r="E142" s="181">
        <f t="shared" si="2"/>
        <v>0</v>
      </c>
    </row>
    <row r="143" spans="1:5">
      <c r="A143" s="23" t="s">
        <v>211</v>
      </c>
      <c r="B143" s="23" t="s">
        <v>1677</v>
      </c>
      <c r="C143" s="178">
        <v>82116</v>
      </c>
      <c r="D143" s="178">
        <v>6876</v>
      </c>
      <c r="E143" s="181">
        <f t="shared" si="2"/>
        <v>88992</v>
      </c>
    </row>
    <row r="144" spans="1:5">
      <c r="A144" s="23" t="s">
        <v>89</v>
      </c>
      <c r="B144" s="23" t="s">
        <v>1678</v>
      </c>
      <c r="C144" s="178">
        <v>0</v>
      </c>
      <c r="D144" s="178">
        <v>0</v>
      </c>
      <c r="E144" s="181">
        <f t="shared" si="2"/>
        <v>0</v>
      </c>
    </row>
    <row r="145" spans="1:5">
      <c r="A145" s="23" t="s">
        <v>90</v>
      </c>
      <c r="B145" s="23" t="s">
        <v>1408</v>
      </c>
      <c r="C145" s="178">
        <v>43218</v>
      </c>
      <c r="D145" s="178">
        <v>0</v>
      </c>
      <c r="E145" s="181">
        <f t="shared" si="2"/>
        <v>43218</v>
      </c>
    </row>
    <row r="146" spans="1:5">
      <c r="A146" s="23" t="s">
        <v>92</v>
      </c>
      <c r="B146" s="23" t="s">
        <v>1679</v>
      </c>
      <c r="C146" s="178">
        <v>0</v>
      </c>
      <c r="D146" s="178">
        <v>0</v>
      </c>
      <c r="E146" s="181">
        <f t="shared" si="2"/>
        <v>0</v>
      </c>
    </row>
    <row r="147" spans="1:5">
      <c r="A147" s="23" t="s">
        <v>94</v>
      </c>
      <c r="B147" s="23" t="s">
        <v>1475</v>
      </c>
      <c r="C147" s="178">
        <v>27785</v>
      </c>
      <c r="D147" s="178">
        <v>3037</v>
      </c>
      <c r="E147" s="181">
        <f t="shared" si="2"/>
        <v>30822</v>
      </c>
    </row>
    <row r="148" spans="1:5">
      <c r="A148" s="23" t="s">
        <v>97</v>
      </c>
      <c r="B148" s="23" t="s">
        <v>1680</v>
      </c>
      <c r="C148" s="178">
        <v>0</v>
      </c>
      <c r="D148" s="178">
        <v>0</v>
      </c>
      <c r="E148" s="181">
        <f t="shared" si="2"/>
        <v>0</v>
      </c>
    </row>
    <row r="149" spans="1:5">
      <c r="A149" s="23" t="s">
        <v>99</v>
      </c>
      <c r="B149" s="23" t="s">
        <v>1409</v>
      </c>
      <c r="C149" s="178">
        <v>47376</v>
      </c>
      <c r="D149" s="178">
        <v>3967</v>
      </c>
      <c r="E149" s="181">
        <f t="shared" si="2"/>
        <v>51343</v>
      </c>
    </row>
    <row r="150" spans="1:5">
      <c r="A150" s="23" t="s">
        <v>101</v>
      </c>
      <c r="B150" s="23" t="s">
        <v>1681</v>
      </c>
      <c r="C150" s="178">
        <v>0</v>
      </c>
      <c r="D150" s="178">
        <v>0</v>
      </c>
      <c r="E150" s="181">
        <f t="shared" si="2"/>
        <v>0</v>
      </c>
    </row>
    <row r="151" spans="1:5">
      <c r="A151" s="23" t="s">
        <v>103</v>
      </c>
      <c r="B151" s="23" t="s">
        <v>1682</v>
      </c>
      <c r="C151" s="178">
        <v>80429</v>
      </c>
      <c r="D151" s="178">
        <v>7662</v>
      </c>
      <c r="E151" s="181">
        <f t="shared" si="2"/>
        <v>88091</v>
      </c>
    </row>
    <row r="152" spans="1:5">
      <c r="A152" s="23" t="s">
        <v>214</v>
      </c>
      <c r="B152" s="23" t="s">
        <v>1410</v>
      </c>
      <c r="C152" s="178">
        <v>0</v>
      </c>
      <c r="D152" s="178">
        <v>0</v>
      </c>
      <c r="E152" s="181">
        <f t="shared" si="2"/>
        <v>0</v>
      </c>
    </row>
    <row r="153" spans="1:5">
      <c r="A153" s="23" t="s">
        <v>216</v>
      </c>
      <c r="B153" s="23" t="s">
        <v>1683</v>
      </c>
      <c r="C153" s="178">
        <v>0</v>
      </c>
      <c r="D153" s="178">
        <v>0</v>
      </c>
      <c r="E153" s="181">
        <f t="shared" si="2"/>
        <v>0</v>
      </c>
    </row>
    <row r="154" spans="1:5">
      <c r="A154" s="23" t="s">
        <v>48</v>
      </c>
      <c r="B154" s="23" t="s">
        <v>1684</v>
      </c>
      <c r="C154" s="178">
        <v>0</v>
      </c>
      <c r="D154" s="178">
        <v>0</v>
      </c>
      <c r="E154" s="181">
        <f t="shared" si="2"/>
        <v>0</v>
      </c>
    </row>
    <row r="155" spans="1:5">
      <c r="A155" s="23" t="s">
        <v>50</v>
      </c>
      <c r="B155" s="23" t="s">
        <v>1685</v>
      </c>
      <c r="C155" s="178">
        <v>86364</v>
      </c>
      <c r="D155" s="178">
        <v>2389</v>
      </c>
      <c r="E155" s="181">
        <f t="shared" si="2"/>
        <v>88753</v>
      </c>
    </row>
    <row r="156" spans="1:5">
      <c r="A156" s="23" t="s">
        <v>316</v>
      </c>
      <c r="B156" s="23" t="s">
        <v>1411</v>
      </c>
      <c r="C156" s="178">
        <v>0</v>
      </c>
      <c r="D156" s="178">
        <v>0</v>
      </c>
      <c r="E156" s="181">
        <f t="shared" si="2"/>
        <v>0</v>
      </c>
    </row>
    <row r="157" spans="1:5">
      <c r="A157" s="23" t="s">
        <v>318</v>
      </c>
      <c r="B157" s="23" t="s">
        <v>1412</v>
      </c>
      <c r="C157" s="178">
        <v>667058</v>
      </c>
      <c r="D157" s="178">
        <v>36445</v>
      </c>
      <c r="E157" s="181">
        <f t="shared" si="2"/>
        <v>703503</v>
      </c>
    </row>
    <row r="158" spans="1:5">
      <c r="A158" s="23" t="s">
        <v>320</v>
      </c>
      <c r="B158" s="23" t="s">
        <v>1476</v>
      </c>
      <c r="C158" s="178">
        <v>13080</v>
      </c>
      <c r="D158" s="178">
        <v>1095</v>
      </c>
      <c r="E158" s="181">
        <f t="shared" si="2"/>
        <v>14175</v>
      </c>
    </row>
    <row r="159" spans="1:5">
      <c r="A159" s="23" t="s">
        <v>322</v>
      </c>
      <c r="B159" s="23" t="s">
        <v>1413</v>
      </c>
      <c r="C159" s="178">
        <v>790059</v>
      </c>
      <c r="D159" s="178">
        <v>83790</v>
      </c>
      <c r="E159" s="181">
        <f t="shared" si="2"/>
        <v>873849</v>
      </c>
    </row>
    <row r="160" spans="1:5">
      <c r="A160" s="23" t="s">
        <v>324</v>
      </c>
      <c r="B160" s="23" t="s">
        <v>1686</v>
      </c>
      <c r="C160" s="178">
        <v>0</v>
      </c>
      <c r="D160" s="178">
        <v>0</v>
      </c>
      <c r="E160" s="181">
        <f t="shared" si="2"/>
        <v>0</v>
      </c>
    </row>
    <row r="161" spans="1:5">
      <c r="A161" s="23" t="s">
        <v>326</v>
      </c>
      <c r="B161" s="23" t="s">
        <v>1687</v>
      </c>
      <c r="C161" s="178">
        <v>3567</v>
      </c>
      <c r="D161" s="178">
        <v>495</v>
      </c>
      <c r="E161" s="181">
        <f t="shared" si="2"/>
        <v>4062</v>
      </c>
    </row>
    <row r="162" spans="1:5">
      <c r="A162" s="23" t="s">
        <v>328</v>
      </c>
      <c r="B162" s="23" t="s">
        <v>1688</v>
      </c>
      <c r="C162" s="178">
        <v>0</v>
      </c>
      <c r="D162" s="178">
        <v>0</v>
      </c>
      <c r="E162" s="181">
        <f t="shared" si="2"/>
        <v>0</v>
      </c>
    </row>
    <row r="163" spans="1:5">
      <c r="A163" s="23" t="s">
        <v>104</v>
      </c>
      <c r="B163" s="23" t="s">
        <v>1414</v>
      </c>
      <c r="C163" s="178">
        <v>0</v>
      </c>
      <c r="D163" s="178">
        <v>2686</v>
      </c>
      <c r="E163" s="181">
        <f t="shared" si="2"/>
        <v>2686</v>
      </c>
    </row>
    <row r="164" spans="1:5">
      <c r="A164" s="23" t="s">
        <v>106</v>
      </c>
      <c r="B164" s="23" t="s">
        <v>1689</v>
      </c>
      <c r="C164" s="178">
        <v>0</v>
      </c>
      <c r="D164" s="178">
        <v>0</v>
      </c>
      <c r="E164" s="181">
        <f t="shared" si="2"/>
        <v>0</v>
      </c>
    </row>
    <row r="165" spans="1:5">
      <c r="A165" s="23" t="s">
        <v>587</v>
      </c>
      <c r="B165" s="23" t="s">
        <v>1690</v>
      </c>
      <c r="C165" s="178">
        <v>5065</v>
      </c>
      <c r="D165" s="178">
        <v>425</v>
      </c>
      <c r="E165" s="181">
        <f t="shared" si="2"/>
        <v>5490</v>
      </c>
    </row>
    <row r="166" spans="1:5">
      <c r="A166" s="23" t="s">
        <v>108</v>
      </c>
      <c r="B166" s="23" t="s">
        <v>1415</v>
      </c>
      <c r="C166" s="178">
        <v>18114</v>
      </c>
      <c r="D166" s="178">
        <v>4606</v>
      </c>
      <c r="E166" s="181">
        <f t="shared" si="2"/>
        <v>22720</v>
      </c>
    </row>
    <row r="167" spans="1:5">
      <c r="A167" s="23" t="s">
        <v>110</v>
      </c>
      <c r="B167" s="23" t="s">
        <v>1691</v>
      </c>
      <c r="C167" s="178">
        <v>236781</v>
      </c>
      <c r="D167" s="178">
        <v>38075</v>
      </c>
      <c r="E167" s="181">
        <f t="shared" si="2"/>
        <v>274856</v>
      </c>
    </row>
    <row r="168" spans="1:5">
      <c r="A168" s="23" t="s">
        <v>112</v>
      </c>
      <c r="B168" s="23" t="s">
        <v>1692</v>
      </c>
      <c r="C168" s="178">
        <v>42897</v>
      </c>
      <c r="D168" s="178">
        <v>2787</v>
      </c>
      <c r="E168" s="181">
        <f t="shared" si="2"/>
        <v>45684</v>
      </c>
    </row>
    <row r="169" spans="1:5">
      <c r="A169" s="23" t="s">
        <v>114</v>
      </c>
      <c r="B169" s="23" t="s">
        <v>1495</v>
      </c>
      <c r="C169" s="178">
        <v>40223</v>
      </c>
      <c r="D169" s="178">
        <v>3368</v>
      </c>
      <c r="E169" s="181">
        <f t="shared" si="2"/>
        <v>43591</v>
      </c>
    </row>
    <row r="170" spans="1:5">
      <c r="A170" s="23" t="s">
        <v>116</v>
      </c>
      <c r="B170" s="23" t="s">
        <v>1416</v>
      </c>
      <c r="C170" s="178">
        <v>0</v>
      </c>
      <c r="D170" s="178">
        <v>0</v>
      </c>
      <c r="E170" s="181">
        <f t="shared" si="2"/>
        <v>0</v>
      </c>
    </row>
    <row r="171" spans="1:5">
      <c r="A171" s="23" t="s">
        <v>118</v>
      </c>
      <c r="B171" s="23" t="s">
        <v>1693</v>
      </c>
      <c r="C171" s="178">
        <v>0</v>
      </c>
      <c r="D171" s="178">
        <v>0</v>
      </c>
      <c r="E171" s="181">
        <f t="shared" si="2"/>
        <v>0</v>
      </c>
    </row>
    <row r="172" spans="1:5">
      <c r="A172" s="23" t="s">
        <v>119</v>
      </c>
      <c r="B172" s="23" t="s">
        <v>1477</v>
      </c>
      <c r="C172" s="178">
        <v>0</v>
      </c>
      <c r="D172" s="178">
        <v>0</v>
      </c>
      <c r="E172" s="181">
        <f t="shared" si="2"/>
        <v>0</v>
      </c>
    </row>
    <row r="173" spans="1:5">
      <c r="A173" s="23" t="s">
        <v>159</v>
      </c>
      <c r="B173" s="23" t="s">
        <v>1478</v>
      </c>
      <c r="C173" s="178">
        <v>0</v>
      </c>
      <c r="D173" s="178">
        <v>0</v>
      </c>
      <c r="E173" s="181">
        <f t="shared" si="2"/>
        <v>0</v>
      </c>
    </row>
    <row r="174" spans="1:5">
      <c r="A174" s="23" t="s">
        <v>163</v>
      </c>
      <c r="B174" s="23" t="s">
        <v>1694</v>
      </c>
      <c r="C174" s="178">
        <v>0</v>
      </c>
      <c r="D174" s="178">
        <v>0</v>
      </c>
      <c r="E174" s="181">
        <f t="shared" si="2"/>
        <v>0</v>
      </c>
    </row>
    <row r="175" spans="1:5">
      <c r="A175" s="23" t="s">
        <v>165</v>
      </c>
      <c r="B175" s="23" t="s">
        <v>1417</v>
      </c>
      <c r="C175" s="178">
        <v>37281</v>
      </c>
      <c r="D175" s="178">
        <v>9174</v>
      </c>
      <c r="E175" s="181">
        <f t="shared" si="2"/>
        <v>46455</v>
      </c>
    </row>
    <row r="176" spans="1:5">
      <c r="A176" s="23" t="s">
        <v>167</v>
      </c>
      <c r="B176" s="23" t="s">
        <v>1418</v>
      </c>
      <c r="C176" s="178">
        <v>181379</v>
      </c>
      <c r="D176" s="178">
        <v>1</v>
      </c>
      <c r="E176" s="181">
        <f t="shared" si="2"/>
        <v>181380</v>
      </c>
    </row>
    <row r="177" spans="1:5">
      <c r="A177" s="23" t="s">
        <v>169</v>
      </c>
      <c r="B177" s="23" t="s">
        <v>1419</v>
      </c>
      <c r="C177" s="178">
        <v>0</v>
      </c>
      <c r="D177" s="178">
        <v>0</v>
      </c>
      <c r="E177" s="181">
        <f t="shared" si="2"/>
        <v>0</v>
      </c>
    </row>
    <row r="178" spans="1:5">
      <c r="A178" s="23" t="s">
        <v>0</v>
      </c>
      <c r="B178" s="23" t="s">
        <v>1420</v>
      </c>
      <c r="C178" s="178">
        <v>0</v>
      </c>
      <c r="D178" s="178">
        <v>0</v>
      </c>
      <c r="E178" s="181">
        <f t="shared" si="2"/>
        <v>0</v>
      </c>
    </row>
    <row r="179" spans="1:5">
      <c r="A179" s="23" t="s">
        <v>2</v>
      </c>
      <c r="B179" s="23" t="s">
        <v>1421</v>
      </c>
      <c r="C179" s="178">
        <v>479203</v>
      </c>
      <c r="D179" s="178">
        <v>79796</v>
      </c>
      <c r="E179" s="181">
        <f t="shared" si="2"/>
        <v>558999</v>
      </c>
    </row>
    <row r="180" spans="1:5">
      <c r="A180" s="23" t="s">
        <v>388</v>
      </c>
      <c r="B180" s="23" t="s">
        <v>1422</v>
      </c>
      <c r="C180" s="178">
        <v>15289</v>
      </c>
      <c r="D180" s="178">
        <v>1280</v>
      </c>
      <c r="E180" s="181">
        <f t="shared" si="2"/>
        <v>16569</v>
      </c>
    </row>
    <row r="181" spans="1:5">
      <c r="A181" s="23" t="s">
        <v>391</v>
      </c>
      <c r="B181" s="23" t="s">
        <v>1423</v>
      </c>
      <c r="C181" s="178">
        <v>0</v>
      </c>
      <c r="D181" s="178">
        <v>0</v>
      </c>
      <c r="E181" s="181">
        <f t="shared" si="2"/>
        <v>0</v>
      </c>
    </row>
    <row r="182" spans="1:5">
      <c r="A182" s="23" t="s">
        <v>393</v>
      </c>
      <c r="B182" s="23" t="s">
        <v>1695</v>
      </c>
      <c r="C182" s="178">
        <v>0</v>
      </c>
      <c r="D182" s="178">
        <v>0</v>
      </c>
      <c r="E182" s="181">
        <f t="shared" si="2"/>
        <v>0</v>
      </c>
    </row>
    <row r="183" spans="1:5">
      <c r="A183" s="23" t="s">
        <v>395</v>
      </c>
      <c r="B183" s="23" t="s">
        <v>1696</v>
      </c>
      <c r="C183" s="178">
        <v>42265</v>
      </c>
      <c r="D183" s="178">
        <v>32760</v>
      </c>
      <c r="E183" s="181">
        <f t="shared" si="2"/>
        <v>75025</v>
      </c>
    </row>
    <row r="184" spans="1:5">
      <c r="A184" s="127" t="s">
        <v>1515</v>
      </c>
      <c r="B184" s="1" t="s">
        <v>2080</v>
      </c>
      <c r="C184" s="178">
        <v>0</v>
      </c>
      <c r="D184" s="178">
        <v>0</v>
      </c>
      <c r="E184" s="181">
        <f t="shared" si="2"/>
        <v>0</v>
      </c>
    </row>
    <row r="185" spans="1:5">
      <c r="A185" s="23" t="s">
        <v>397</v>
      </c>
      <c r="B185" s="23" t="s">
        <v>1424</v>
      </c>
      <c r="C185" s="178">
        <v>0</v>
      </c>
      <c r="D185" s="178">
        <v>0</v>
      </c>
      <c r="E185" s="181">
        <f t="shared" si="2"/>
        <v>0</v>
      </c>
    </row>
    <row r="186" spans="1:5">
      <c r="A186" s="23" t="s">
        <v>399</v>
      </c>
      <c r="B186" s="23" t="s">
        <v>1697</v>
      </c>
      <c r="C186" s="178">
        <v>0</v>
      </c>
      <c r="D186" s="178">
        <v>0</v>
      </c>
      <c r="E186" s="181">
        <f t="shared" si="2"/>
        <v>0</v>
      </c>
    </row>
    <row r="187" spans="1:5">
      <c r="A187" s="23" t="s">
        <v>401</v>
      </c>
      <c r="B187" s="23" t="s">
        <v>1425</v>
      </c>
      <c r="C187" s="178">
        <v>69145</v>
      </c>
      <c r="D187" s="178">
        <v>0</v>
      </c>
      <c r="E187" s="181">
        <f t="shared" si="2"/>
        <v>69145</v>
      </c>
    </row>
    <row r="188" spans="1:5">
      <c r="A188" s="23" t="s">
        <v>384</v>
      </c>
      <c r="B188" s="23" t="s">
        <v>1698</v>
      </c>
      <c r="C188" s="178">
        <v>0</v>
      </c>
      <c r="D188" s="178">
        <v>0</v>
      </c>
      <c r="E188" s="181">
        <f t="shared" si="2"/>
        <v>0</v>
      </c>
    </row>
    <row r="189" spans="1:5">
      <c r="A189" s="23" t="s">
        <v>386</v>
      </c>
      <c r="B189" s="23" t="s">
        <v>1426</v>
      </c>
      <c r="C189" s="178">
        <v>13991</v>
      </c>
      <c r="D189" s="178">
        <v>1171</v>
      </c>
      <c r="E189" s="181">
        <f t="shared" si="2"/>
        <v>15162</v>
      </c>
    </row>
    <row r="190" spans="1:5">
      <c r="A190" s="23" t="s">
        <v>936</v>
      </c>
      <c r="B190" s="23" t="s">
        <v>1699</v>
      </c>
      <c r="C190" s="178">
        <v>0</v>
      </c>
      <c r="D190" s="178">
        <v>0</v>
      </c>
      <c r="E190" s="181">
        <f t="shared" si="2"/>
        <v>0</v>
      </c>
    </row>
    <row r="191" spans="1:5">
      <c r="A191" s="23" t="s">
        <v>348</v>
      </c>
      <c r="B191" s="23" t="s">
        <v>1700</v>
      </c>
      <c r="C191" s="178">
        <v>0</v>
      </c>
      <c r="D191" s="178">
        <v>0</v>
      </c>
      <c r="E191" s="181">
        <f t="shared" si="2"/>
        <v>0</v>
      </c>
    </row>
    <row r="192" spans="1:5">
      <c r="A192" s="127" t="s">
        <v>1518</v>
      </c>
      <c r="B192" s="1" t="s">
        <v>2081</v>
      </c>
      <c r="C192" s="178">
        <v>0</v>
      </c>
      <c r="D192" s="178">
        <v>0</v>
      </c>
      <c r="E192" s="181">
        <f t="shared" si="2"/>
        <v>0</v>
      </c>
    </row>
    <row r="193" spans="1:5">
      <c r="A193" s="23" t="s">
        <v>350</v>
      </c>
      <c r="B193" s="23" t="s">
        <v>1427</v>
      </c>
      <c r="C193" s="178">
        <v>95924</v>
      </c>
      <c r="D193" s="178">
        <v>0</v>
      </c>
      <c r="E193" s="181">
        <f t="shared" si="2"/>
        <v>95924</v>
      </c>
    </row>
    <row r="194" spans="1:5">
      <c r="A194" s="23" t="s">
        <v>352</v>
      </c>
      <c r="B194" s="23" t="s">
        <v>1428</v>
      </c>
      <c r="C194" s="178">
        <v>0</v>
      </c>
      <c r="D194" s="178">
        <v>0</v>
      </c>
      <c r="E194" s="181">
        <f t="shared" si="2"/>
        <v>0</v>
      </c>
    </row>
    <row r="195" spans="1:5">
      <c r="A195" s="23" t="s">
        <v>354</v>
      </c>
      <c r="B195" s="23" t="s">
        <v>1701</v>
      </c>
      <c r="C195" s="178">
        <v>0</v>
      </c>
      <c r="D195" s="178">
        <v>0</v>
      </c>
      <c r="E195" s="181">
        <f t="shared" si="2"/>
        <v>0</v>
      </c>
    </row>
    <row r="196" spans="1:5">
      <c r="A196" s="23" t="s">
        <v>67</v>
      </c>
      <c r="B196" s="23" t="s">
        <v>1429</v>
      </c>
      <c r="C196" s="178">
        <v>10687</v>
      </c>
      <c r="D196" s="178">
        <v>2374</v>
      </c>
      <c r="E196" s="181">
        <f t="shared" si="2"/>
        <v>13061</v>
      </c>
    </row>
    <row r="197" spans="1:5">
      <c r="A197" s="23" t="s">
        <v>243</v>
      </c>
      <c r="B197" s="23" t="s">
        <v>1479</v>
      </c>
      <c r="C197" s="178">
        <v>12634</v>
      </c>
      <c r="D197" s="178">
        <v>34</v>
      </c>
      <c r="E197" s="181">
        <f t="shared" ref="E197:E260" si="3">C197+D197</f>
        <v>12668</v>
      </c>
    </row>
    <row r="198" spans="1:5">
      <c r="A198" s="23" t="s">
        <v>362</v>
      </c>
      <c r="B198" s="23" t="s">
        <v>1702</v>
      </c>
      <c r="C198" s="178">
        <v>0</v>
      </c>
      <c r="D198" s="178">
        <v>0</v>
      </c>
      <c r="E198" s="181">
        <f t="shared" si="3"/>
        <v>0</v>
      </c>
    </row>
    <row r="199" spans="1:5">
      <c r="A199" s="23" t="s">
        <v>935</v>
      </c>
      <c r="B199" s="23" t="s">
        <v>1703</v>
      </c>
      <c r="C199" s="178">
        <v>17544</v>
      </c>
      <c r="D199" s="178">
        <v>0</v>
      </c>
      <c r="E199" s="181">
        <f t="shared" si="3"/>
        <v>17544</v>
      </c>
    </row>
    <row r="200" spans="1:5">
      <c r="A200" s="23" t="s">
        <v>364</v>
      </c>
      <c r="B200" s="23" t="s">
        <v>1430</v>
      </c>
      <c r="C200" s="178">
        <v>7205</v>
      </c>
      <c r="D200" s="178">
        <v>3391</v>
      </c>
      <c r="E200" s="181">
        <f t="shared" si="3"/>
        <v>10596</v>
      </c>
    </row>
    <row r="201" spans="1:5">
      <c r="A201" s="23" t="s">
        <v>961</v>
      </c>
      <c r="B201" s="23" t="s">
        <v>1704</v>
      </c>
      <c r="C201" s="178">
        <v>0</v>
      </c>
      <c r="D201" s="178">
        <v>0</v>
      </c>
      <c r="E201" s="181">
        <f t="shared" si="3"/>
        <v>0</v>
      </c>
    </row>
    <row r="202" spans="1:5">
      <c r="A202" s="23" t="s">
        <v>368</v>
      </c>
      <c r="B202" s="23" t="s">
        <v>1480</v>
      </c>
      <c r="C202" s="178">
        <v>0</v>
      </c>
      <c r="D202" s="178">
        <v>0</v>
      </c>
      <c r="E202" s="181">
        <f t="shared" si="3"/>
        <v>0</v>
      </c>
    </row>
    <row r="203" spans="1:5">
      <c r="A203" s="23" t="s">
        <v>370</v>
      </c>
      <c r="B203" s="23" t="s">
        <v>1705</v>
      </c>
      <c r="C203" s="178">
        <v>770015</v>
      </c>
      <c r="D203" s="178">
        <v>64474</v>
      </c>
      <c r="E203" s="181">
        <f t="shared" si="3"/>
        <v>834489</v>
      </c>
    </row>
    <row r="204" spans="1:5">
      <c r="A204" s="23" t="s">
        <v>372</v>
      </c>
      <c r="B204" s="23" t="s">
        <v>1706</v>
      </c>
      <c r="C204" s="178">
        <v>19703</v>
      </c>
      <c r="D204" s="178">
        <v>1650</v>
      </c>
      <c r="E204" s="181">
        <f t="shared" si="3"/>
        <v>21353</v>
      </c>
    </row>
    <row r="205" spans="1:5">
      <c r="A205" s="23" t="s">
        <v>374</v>
      </c>
      <c r="B205" s="23" t="s">
        <v>1431</v>
      </c>
      <c r="C205" s="178">
        <v>167212</v>
      </c>
      <c r="D205" s="178">
        <v>49608</v>
      </c>
      <c r="E205" s="181">
        <f t="shared" si="3"/>
        <v>216820</v>
      </c>
    </row>
    <row r="206" spans="1:5">
      <c r="A206" s="23" t="s">
        <v>376</v>
      </c>
      <c r="B206" s="23" t="s">
        <v>1481</v>
      </c>
      <c r="C206" s="178">
        <v>24216</v>
      </c>
      <c r="D206" s="178">
        <v>2776</v>
      </c>
      <c r="E206" s="181">
        <f t="shared" si="3"/>
        <v>26992</v>
      </c>
    </row>
    <row r="207" spans="1:5">
      <c r="A207" s="23" t="s">
        <v>378</v>
      </c>
      <c r="B207" s="23" t="s">
        <v>1707</v>
      </c>
      <c r="C207" s="178">
        <v>0</v>
      </c>
      <c r="D207" s="178">
        <v>0</v>
      </c>
      <c r="E207" s="181">
        <f t="shared" si="3"/>
        <v>0</v>
      </c>
    </row>
    <row r="208" spans="1:5">
      <c r="A208" s="23" t="s">
        <v>380</v>
      </c>
      <c r="B208" s="23" t="s">
        <v>1708</v>
      </c>
      <c r="C208" s="178">
        <v>0</v>
      </c>
      <c r="D208" s="178">
        <v>0</v>
      </c>
      <c r="E208" s="181">
        <f t="shared" si="3"/>
        <v>0</v>
      </c>
    </row>
    <row r="209" spans="1:5">
      <c r="A209" s="23" t="s">
        <v>382</v>
      </c>
      <c r="B209" s="23" t="s">
        <v>1432</v>
      </c>
      <c r="C209" s="178">
        <v>128731</v>
      </c>
      <c r="D209" s="178">
        <v>10779</v>
      </c>
      <c r="E209" s="181">
        <f t="shared" si="3"/>
        <v>139510</v>
      </c>
    </row>
    <row r="210" spans="1:5">
      <c r="A210" s="23" t="s">
        <v>270</v>
      </c>
      <c r="B210" s="23" t="s">
        <v>1433</v>
      </c>
      <c r="C210" s="178">
        <v>50289</v>
      </c>
      <c r="D210" s="178">
        <v>6134</v>
      </c>
      <c r="E210" s="181">
        <f t="shared" si="3"/>
        <v>56423</v>
      </c>
    </row>
    <row r="211" spans="1:5">
      <c r="A211" s="23" t="s">
        <v>274</v>
      </c>
      <c r="B211" s="23" t="s">
        <v>1434</v>
      </c>
      <c r="C211" s="178">
        <v>9000</v>
      </c>
      <c r="D211" s="178">
        <v>754</v>
      </c>
      <c r="E211" s="181">
        <f t="shared" si="3"/>
        <v>9754</v>
      </c>
    </row>
    <row r="212" spans="1:5">
      <c r="A212" s="23" t="s">
        <v>276</v>
      </c>
      <c r="B212" s="23" t="s">
        <v>1709</v>
      </c>
      <c r="C212" s="178">
        <v>82833</v>
      </c>
      <c r="D212" s="178">
        <v>6936</v>
      </c>
      <c r="E212" s="181">
        <f t="shared" si="3"/>
        <v>89769</v>
      </c>
    </row>
    <row r="213" spans="1:5">
      <c r="A213" s="23" t="s">
        <v>546</v>
      </c>
      <c r="B213" s="23" t="s">
        <v>1482</v>
      </c>
      <c r="C213" s="178">
        <v>67</v>
      </c>
      <c r="D213" s="178">
        <v>0</v>
      </c>
      <c r="E213" s="181">
        <f t="shared" si="3"/>
        <v>67</v>
      </c>
    </row>
    <row r="214" spans="1:5">
      <c r="A214" s="23" t="s">
        <v>547</v>
      </c>
      <c r="B214" s="23" t="s">
        <v>1435</v>
      </c>
      <c r="C214" s="178">
        <v>0</v>
      </c>
      <c r="D214" s="178">
        <v>0</v>
      </c>
      <c r="E214" s="181">
        <f t="shared" si="3"/>
        <v>0</v>
      </c>
    </row>
    <row r="215" spans="1:5">
      <c r="A215" s="23" t="s">
        <v>549</v>
      </c>
      <c r="B215" s="23" t="s">
        <v>1436</v>
      </c>
      <c r="C215" s="178">
        <v>2850027</v>
      </c>
      <c r="D215" s="178">
        <v>150813</v>
      </c>
      <c r="E215" s="181">
        <f t="shared" si="3"/>
        <v>3000840</v>
      </c>
    </row>
    <row r="216" spans="1:5">
      <c r="A216" s="23" t="s">
        <v>551</v>
      </c>
      <c r="B216" s="23" t="s">
        <v>1437</v>
      </c>
      <c r="C216" s="178">
        <v>21997</v>
      </c>
      <c r="D216" s="178">
        <v>4404</v>
      </c>
      <c r="E216" s="181">
        <f t="shared" si="3"/>
        <v>26401</v>
      </c>
    </row>
    <row r="217" spans="1:5">
      <c r="A217" s="23" t="s">
        <v>553</v>
      </c>
      <c r="B217" s="23" t="s">
        <v>1710</v>
      </c>
      <c r="C217" s="178">
        <v>106767</v>
      </c>
      <c r="D217" s="178">
        <v>10184</v>
      </c>
      <c r="E217" s="181">
        <f t="shared" si="3"/>
        <v>116951</v>
      </c>
    </row>
    <row r="218" spans="1:5">
      <c r="A218" s="23" t="s">
        <v>555</v>
      </c>
      <c r="B218" s="23" t="s">
        <v>1711</v>
      </c>
      <c r="C218" s="178">
        <v>0</v>
      </c>
      <c r="D218" s="178">
        <v>0</v>
      </c>
      <c r="E218" s="181">
        <f t="shared" si="3"/>
        <v>0</v>
      </c>
    </row>
    <row r="219" spans="1:5">
      <c r="A219" s="23" t="s">
        <v>557</v>
      </c>
      <c r="B219" s="23" t="s">
        <v>1438</v>
      </c>
      <c r="C219" s="178">
        <v>5055</v>
      </c>
      <c r="D219" s="178">
        <v>3312</v>
      </c>
      <c r="E219" s="181">
        <f t="shared" si="3"/>
        <v>8367</v>
      </c>
    </row>
    <row r="220" spans="1:5">
      <c r="A220" s="23" t="s">
        <v>561</v>
      </c>
      <c r="B220" s="23" t="s">
        <v>1483</v>
      </c>
      <c r="C220" s="178">
        <v>142460</v>
      </c>
      <c r="D220" s="178">
        <v>18426</v>
      </c>
      <c r="E220" s="181">
        <f t="shared" si="3"/>
        <v>160886</v>
      </c>
    </row>
    <row r="221" spans="1:5">
      <c r="A221" s="23" t="s">
        <v>563</v>
      </c>
      <c r="B221" s="23" t="s">
        <v>1439</v>
      </c>
      <c r="C221" s="178">
        <v>64244</v>
      </c>
      <c r="D221" s="178">
        <v>15822</v>
      </c>
      <c r="E221" s="181">
        <f t="shared" si="3"/>
        <v>80066</v>
      </c>
    </row>
    <row r="222" spans="1:5">
      <c r="A222" s="23" t="s">
        <v>77</v>
      </c>
      <c r="B222" s="23" t="s">
        <v>1484</v>
      </c>
      <c r="C222" s="178">
        <v>0</v>
      </c>
      <c r="D222" s="178">
        <v>0</v>
      </c>
      <c r="E222" s="181">
        <f t="shared" si="3"/>
        <v>0</v>
      </c>
    </row>
    <row r="223" spans="1:5">
      <c r="A223" s="23" t="s">
        <v>79</v>
      </c>
      <c r="B223" s="23" t="s">
        <v>1712</v>
      </c>
      <c r="C223" s="178">
        <v>393231</v>
      </c>
      <c r="D223" s="178">
        <v>33071</v>
      </c>
      <c r="E223" s="181">
        <f t="shared" si="3"/>
        <v>426302</v>
      </c>
    </row>
    <row r="224" spans="1:5">
      <c r="A224" s="23" t="s">
        <v>81</v>
      </c>
      <c r="B224" s="23" t="s">
        <v>1440</v>
      </c>
      <c r="C224" s="178">
        <v>287930</v>
      </c>
      <c r="D224" s="178">
        <v>24110</v>
      </c>
      <c r="E224" s="181">
        <f t="shared" si="3"/>
        <v>312040</v>
      </c>
    </row>
    <row r="225" spans="1:5">
      <c r="A225" s="23" t="s">
        <v>83</v>
      </c>
      <c r="B225" s="23" t="s">
        <v>1713</v>
      </c>
      <c r="C225" s="178">
        <v>0</v>
      </c>
      <c r="D225" s="178">
        <v>0</v>
      </c>
      <c r="E225" s="181">
        <f t="shared" si="3"/>
        <v>0</v>
      </c>
    </row>
    <row r="226" spans="1:5">
      <c r="A226" s="23" t="s">
        <v>85</v>
      </c>
      <c r="B226" s="23" t="s">
        <v>1441</v>
      </c>
      <c r="C226" s="178">
        <v>6057</v>
      </c>
      <c r="D226" s="178">
        <v>0</v>
      </c>
      <c r="E226" s="181">
        <f t="shared" si="3"/>
        <v>6057</v>
      </c>
    </row>
    <row r="227" spans="1:5">
      <c r="A227" s="23" t="s">
        <v>567</v>
      </c>
      <c r="B227" s="23" t="s">
        <v>1714</v>
      </c>
      <c r="C227" s="178">
        <v>0</v>
      </c>
      <c r="D227" s="178">
        <v>0</v>
      </c>
      <c r="E227" s="181">
        <f t="shared" si="3"/>
        <v>0</v>
      </c>
    </row>
    <row r="228" spans="1:5">
      <c r="A228" s="23" t="s">
        <v>569</v>
      </c>
      <c r="B228" s="23" t="s">
        <v>1715</v>
      </c>
      <c r="C228" s="178">
        <v>58355</v>
      </c>
      <c r="D228" s="178">
        <v>4886</v>
      </c>
      <c r="E228" s="181">
        <f t="shared" si="3"/>
        <v>63241</v>
      </c>
    </row>
    <row r="229" spans="1:5">
      <c r="A229" s="23" t="s">
        <v>571</v>
      </c>
      <c r="B229" s="23" t="s">
        <v>1716</v>
      </c>
      <c r="C229" s="178">
        <v>9228</v>
      </c>
      <c r="D229" s="178">
        <v>773</v>
      </c>
      <c r="E229" s="181">
        <f t="shared" si="3"/>
        <v>10001</v>
      </c>
    </row>
    <row r="230" spans="1:5">
      <c r="A230" s="23" t="s">
        <v>937</v>
      </c>
      <c r="B230" s="23" t="s">
        <v>1485</v>
      </c>
      <c r="C230" s="178">
        <v>0</v>
      </c>
      <c r="D230" s="178">
        <v>0</v>
      </c>
      <c r="E230" s="181">
        <f t="shared" si="3"/>
        <v>0</v>
      </c>
    </row>
    <row r="231" spans="1:5">
      <c r="A231" s="23" t="s">
        <v>573</v>
      </c>
      <c r="B231" s="23" t="s">
        <v>1717</v>
      </c>
      <c r="C231" s="178">
        <v>1</v>
      </c>
      <c r="D231" s="178">
        <v>0</v>
      </c>
      <c r="E231" s="181">
        <f t="shared" si="3"/>
        <v>1</v>
      </c>
    </row>
    <row r="232" spans="1:5">
      <c r="A232" s="23" t="s">
        <v>541</v>
      </c>
      <c r="B232" s="23" t="s">
        <v>1718</v>
      </c>
      <c r="C232" s="178">
        <v>0</v>
      </c>
      <c r="D232" s="178">
        <v>0</v>
      </c>
      <c r="E232" s="181">
        <f t="shared" si="3"/>
        <v>0</v>
      </c>
    </row>
    <row r="233" spans="1:5">
      <c r="A233" s="23" t="s">
        <v>543</v>
      </c>
      <c r="B233" s="23" t="s">
        <v>1719</v>
      </c>
      <c r="C233" s="178">
        <v>0</v>
      </c>
      <c r="D233" s="178">
        <v>0</v>
      </c>
      <c r="E233" s="181">
        <f t="shared" si="3"/>
        <v>0</v>
      </c>
    </row>
    <row r="234" spans="1:5">
      <c r="A234" s="23" t="s">
        <v>57</v>
      </c>
      <c r="B234" s="23" t="s">
        <v>1442</v>
      </c>
      <c r="C234" s="178">
        <v>2954</v>
      </c>
      <c r="D234" s="178">
        <v>930</v>
      </c>
      <c r="E234" s="181">
        <f t="shared" si="3"/>
        <v>3884</v>
      </c>
    </row>
    <row r="235" spans="1:5">
      <c r="A235" s="23" t="s">
        <v>61</v>
      </c>
      <c r="B235" s="23" t="s">
        <v>1443</v>
      </c>
      <c r="C235" s="178">
        <v>0</v>
      </c>
      <c r="D235" s="178">
        <v>0</v>
      </c>
      <c r="E235" s="181">
        <f t="shared" si="3"/>
        <v>0</v>
      </c>
    </row>
    <row r="236" spans="1:5">
      <c r="A236" s="23" t="s">
        <v>65</v>
      </c>
      <c r="B236" s="23" t="s">
        <v>1444</v>
      </c>
      <c r="C236" s="178">
        <v>65986</v>
      </c>
      <c r="D236" s="178">
        <v>0</v>
      </c>
      <c r="E236" s="181">
        <f t="shared" si="3"/>
        <v>65986</v>
      </c>
    </row>
    <row r="237" spans="1:5">
      <c r="A237" s="23" t="s">
        <v>66</v>
      </c>
      <c r="B237" s="23" t="s">
        <v>1720</v>
      </c>
      <c r="C237" s="178">
        <v>0</v>
      </c>
      <c r="D237" s="178">
        <v>0</v>
      </c>
      <c r="E237" s="181">
        <f t="shared" si="3"/>
        <v>0</v>
      </c>
    </row>
    <row r="238" spans="1:5">
      <c r="A238" s="23" t="s">
        <v>7</v>
      </c>
      <c r="B238" s="23" t="s">
        <v>1721</v>
      </c>
      <c r="C238" s="178">
        <v>87533</v>
      </c>
      <c r="D238" s="178">
        <v>7329</v>
      </c>
      <c r="E238" s="181">
        <f t="shared" si="3"/>
        <v>94862</v>
      </c>
    </row>
    <row r="239" spans="1:5">
      <c r="A239" s="23" t="s">
        <v>954</v>
      </c>
      <c r="B239" s="23" t="s">
        <v>1722</v>
      </c>
      <c r="C239" s="178">
        <v>0</v>
      </c>
      <c r="D239" s="178">
        <v>0</v>
      </c>
      <c r="E239" s="181">
        <f t="shared" si="3"/>
        <v>0</v>
      </c>
    </row>
    <row r="240" spans="1:5">
      <c r="A240" s="23" t="s">
        <v>934</v>
      </c>
      <c r="B240" s="23" t="s">
        <v>1723</v>
      </c>
      <c r="C240" s="178">
        <v>0</v>
      </c>
      <c r="D240" s="178">
        <v>0</v>
      </c>
      <c r="E240" s="181">
        <f t="shared" si="3"/>
        <v>0</v>
      </c>
    </row>
    <row r="241" spans="1:5">
      <c r="A241" s="23" t="s">
        <v>933</v>
      </c>
      <c r="B241" s="23" t="s">
        <v>1724</v>
      </c>
      <c r="C241" s="178">
        <v>0</v>
      </c>
      <c r="D241" s="178">
        <v>0</v>
      </c>
      <c r="E241" s="181">
        <f t="shared" si="3"/>
        <v>0</v>
      </c>
    </row>
    <row r="242" spans="1:5">
      <c r="A242" s="23" t="s">
        <v>9</v>
      </c>
      <c r="B242" s="23" t="s">
        <v>1725</v>
      </c>
      <c r="C242" s="178">
        <v>2970</v>
      </c>
      <c r="D242" s="178">
        <v>249</v>
      </c>
      <c r="E242" s="181">
        <f t="shared" si="3"/>
        <v>3219</v>
      </c>
    </row>
    <row r="243" spans="1:5">
      <c r="A243" s="23" t="s">
        <v>246</v>
      </c>
      <c r="B243" s="23" t="s">
        <v>1445</v>
      </c>
      <c r="C243" s="178">
        <v>125323</v>
      </c>
      <c r="D243" s="178">
        <v>36668</v>
      </c>
      <c r="E243" s="181">
        <f t="shared" si="3"/>
        <v>161991</v>
      </c>
    </row>
    <row r="244" spans="1:5">
      <c r="A244" s="23" t="s">
        <v>248</v>
      </c>
      <c r="B244" s="23" t="s">
        <v>1486</v>
      </c>
      <c r="C244" s="178">
        <v>293099</v>
      </c>
      <c r="D244" s="178">
        <v>29251</v>
      </c>
      <c r="E244" s="181">
        <f t="shared" si="3"/>
        <v>322350</v>
      </c>
    </row>
    <row r="245" spans="1:5">
      <c r="A245" s="23" t="s">
        <v>881</v>
      </c>
      <c r="B245" s="23" t="s">
        <v>1446</v>
      </c>
      <c r="C245" s="178">
        <v>1072</v>
      </c>
      <c r="D245" s="178">
        <v>0</v>
      </c>
      <c r="E245" s="181">
        <f t="shared" si="3"/>
        <v>1072</v>
      </c>
    </row>
    <row r="246" spans="1:5">
      <c r="A246" s="23" t="s">
        <v>250</v>
      </c>
      <c r="B246" s="23" t="s">
        <v>1726</v>
      </c>
      <c r="C246" s="178">
        <v>1370623</v>
      </c>
      <c r="D246" s="178">
        <v>130266</v>
      </c>
      <c r="E246" s="181">
        <f t="shared" si="3"/>
        <v>1500889</v>
      </c>
    </row>
    <row r="247" spans="1:5">
      <c r="A247" s="23" t="s">
        <v>252</v>
      </c>
      <c r="B247" s="23" t="s">
        <v>1487</v>
      </c>
      <c r="C247" s="178">
        <v>0</v>
      </c>
      <c r="D247" s="178">
        <v>0</v>
      </c>
      <c r="E247" s="181">
        <f t="shared" si="3"/>
        <v>0</v>
      </c>
    </row>
    <row r="248" spans="1:5">
      <c r="A248" s="23" t="s">
        <v>254</v>
      </c>
      <c r="B248" s="23" t="s">
        <v>1727</v>
      </c>
      <c r="C248" s="178">
        <v>357032</v>
      </c>
      <c r="D248" s="178">
        <v>30502</v>
      </c>
      <c r="E248" s="181">
        <f t="shared" si="3"/>
        <v>387534</v>
      </c>
    </row>
    <row r="249" spans="1:5">
      <c r="A249" s="23" t="s">
        <v>256</v>
      </c>
      <c r="B249" s="23" t="s">
        <v>1728</v>
      </c>
      <c r="C249" s="178">
        <v>0</v>
      </c>
      <c r="D249" s="178">
        <v>0</v>
      </c>
      <c r="E249" s="181">
        <f t="shared" si="3"/>
        <v>0</v>
      </c>
    </row>
    <row r="250" spans="1:5">
      <c r="A250" s="23" t="s">
        <v>258</v>
      </c>
      <c r="B250" s="23" t="s">
        <v>1496</v>
      </c>
      <c r="C250" s="178">
        <v>59606</v>
      </c>
      <c r="D250" s="178">
        <v>4991</v>
      </c>
      <c r="E250" s="181">
        <f t="shared" si="3"/>
        <v>64597</v>
      </c>
    </row>
    <row r="251" spans="1:5">
      <c r="A251" s="23" t="s">
        <v>260</v>
      </c>
      <c r="B251" s="23" t="s">
        <v>1729</v>
      </c>
      <c r="C251" s="178">
        <v>0</v>
      </c>
      <c r="D251" s="178">
        <v>0</v>
      </c>
      <c r="E251" s="181">
        <f t="shared" si="3"/>
        <v>0</v>
      </c>
    </row>
    <row r="252" spans="1:5">
      <c r="A252" s="23" t="s">
        <v>262</v>
      </c>
      <c r="B252" s="23" t="s">
        <v>1447</v>
      </c>
      <c r="C252" s="178">
        <v>0</v>
      </c>
      <c r="D252" s="178">
        <v>0</v>
      </c>
      <c r="E252" s="181">
        <f t="shared" si="3"/>
        <v>0</v>
      </c>
    </row>
    <row r="253" spans="1:5">
      <c r="A253" s="23" t="s">
        <v>264</v>
      </c>
      <c r="B253" s="23" t="s">
        <v>1448</v>
      </c>
      <c r="C253" s="178">
        <v>0</v>
      </c>
      <c r="D253" s="178">
        <v>0</v>
      </c>
      <c r="E253" s="181">
        <f t="shared" si="3"/>
        <v>0</v>
      </c>
    </row>
    <row r="254" spans="1:5">
      <c r="A254" s="23" t="s">
        <v>266</v>
      </c>
      <c r="B254" s="23" t="s">
        <v>1730</v>
      </c>
      <c r="C254" s="178">
        <v>0</v>
      </c>
      <c r="D254" s="178">
        <v>0</v>
      </c>
      <c r="E254" s="181">
        <f t="shared" si="3"/>
        <v>0</v>
      </c>
    </row>
    <row r="255" spans="1:5">
      <c r="A255" s="23" t="s">
        <v>268</v>
      </c>
      <c r="B255" s="23" t="s">
        <v>1449</v>
      </c>
      <c r="C255" s="178">
        <v>0</v>
      </c>
      <c r="D255" s="178">
        <v>847</v>
      </c>
      <c r="E255" s="181">
        <f t="shared" si="3"/>
        <v>847</v>
      </c>
    </row>
    <row r="256" spans="1:5">
      <c r="A256" s="23" t="s">
        <v>566</v>
      </c>
      <c r="B256" s="23" t="s">
        <v>1488</v>
      </c>
      <c r="C256" s="178">
        <v>0</v>
      </c>
      <c r="D256" s="178">
        <v>0</v>
      </c>
      <c r="E256" s="181">
        <f t="shared" si="3"/>
        <v>0</v>
      </c>
    </row>
    <row r="257" spans="1:5">
      <c r="A257" s="23" t="s">
        <v>189</v>
      </c>
      <c r="B257" s="23" t="s">
        <v>1731</v>
      </c>
      <c r="C257" s="178">
        <v>0</v>
      </c>
      <c r="D257" s="178">
        <v>0</v>
      </c>
      <c r="E257" s="181">
        <f t="shared" si="3"/>
        <v>0</v>
      </c>
    </row>
    <row r="258" spans="1:5">
      <c r="A258" s="23" t="s">
        <v>191</v>
      </c>
      <c r="B258" s="23" t="s">
        <v>1732</v>
      </c>
      <c r="C258" s="178">
        <v>0</v>
      </c>
      <c r="D258" s="178">
        <v>313</v>
      </c>
      <c r="E258" s="181">
        <f t="shared" si="3"/>
        <v>313</v>
      </c>
    </row>
    <row r="259" spans="1:5">
      <c r="A259" s="23" t="s">
        <v>193</v>
      </c>
      <c r="B259" s="23" t="s">
        <v>1733</v>
      </c>
      <c r="C259" s="178">
        <v>0</v>
      </c>
      <c r="D259" s="178">
        <v>0</v>
      </c>
      <c r="E259" s="181">
        <f t="shared" si="3"/>
        <v>0</v>
      </c>
    </row>
    <row r="260" spans="1:5">
      <c r="A260" s="23" t="s">
        <v>278</v>
      </c>
      <c r="B260" s="23" t="s">
        <v>1450</v>
      </c>
      <c r="C260" s="178">
        <v>60105</v>
      </c>
      <c r="D260" s="178">
        <v>5033</v>
      </c>
      <c r="E260" s="181">
        <f t="shared" si="3"/>
        <v>65138</v>
      </c>
    </row>
    <row r="261" spans="1:5">
      <c r="A261" s="23" t="s">
        <v>280</v>
      </c>
      <c r="B261" s="23" t="s">
        <v>1734</v>
      </c>
      <c r="C261" s="178">
        <v>0</v>
      </c>
      <c r="D261" s="178">
        <v>0</v>
      </c>
      <c r="E261" s="181">
        <f t="shared" ref="E261:E287" si="4">C261+D261</f>
        <v>0</v>
      </c>
    </row>
    <row r="262" spans="1:5">
      <c r="A262" s="23" t="s">
        <v>501</v>
      </c>
      <c r="B262" s="23" t="s">
        <v>1735</v>
      </c>
      <c r="C262" s="178">
        <v>56262</v>
      </c>
      <c r="D262" s="178">
        <v>1142</v>
      </c>
      <c r="E262" s="181">
        <f t="shared" si="4"/>
        <v>57404</v>
      </c>
    </row>
    <row r="263" spans="1:5">
      <c r="A263" s="23" t="s">
        <v>505</v>
      </c>
      <c r="B263" s="23" t="s">
        <v>1736</v>
      </c>
      <c r="C263" s="178">
        <v>87628</v>
      </c>
      <c r="D263" s="178">
        <v>11591</v>
      </c>
      <c r="E263" s="181">
        <f t="shared" si="4"/>
        <v>99219</v>
      </c>
    </row>
    <row r="264" spans="1:5">
      <c r="A264" s="23" t="s">
        <v>507</v>
      </c>
      <c r="B264" s="23" t="s">
        <v>1451</v>
      </c>
      <c r="C264" s="178">
        <v>0</v>
      </c>
      <c r="D264" s="178">
        <v>0</v>
      </c>
      <c r="E264" s="181">
        <f t="shared" si="4"/>
        <v>0</v>
      </c>
    </row>
    <row r="265" spans="1:5">
      <c r="A265" s="23" t="s">
        <v>509</v>
      </c>
      <c r="B265" s="23" t="s">
        <v>1737</v>
      </c>
      <c r="C265" s="178">
        <v>0</v>
      </c>
      <c r="D265" s="178">
        <v>0</v>
      </c>
      <c r="E265" s="181">
        <f t="shared" si="4"/>
        <v>0</v>
      </c>
    </row>
    <row r="266" spans="1:5">
      <c r="A266" s="23" t="s">
        <v>511</v>
      </c>
      <c r="B266" s="23" t="s">
        <v>1452</v>
      </c>
      <c r="C266" s="178">
        <v>144800</v>
      </c>
      <c r="D266" s="178">
        <v>14672</v>
      </c>
      <c r="E266" s="181">
        <f t="shared" si="4"/>
        <v>159472</v>
      </c>
    </row>
    <row r="267" spans="1:5">
      <c r="A267" s="23" t="s">
        <v>32</v>
      </c>
      <c r="B267" s="23" t="s">
        <v>1453</v>
      </c>
      <c r="C267" s="178">
        <v>25175</v>
      </c>
      <c r="D267" s="178">
        <v>217</v>
      </c>
      <c r="E267" s="181">
        <f t="shared" si="4"/>
        <v>25392</v>
      </c>
    </row>
    <row r="268" spans="1:5">
      <c r="A268" s="23" t="s">
        <v>837</v>
      </c>
      <c r="B268" s="23" t="s">
        <v>1454</v>
      </c>
      <c r="C268" s="178">
        <v>0</v>
      </c>
      <c r="D268" s="178">
        <v>0</v>
      </c>
      <c r="E268" s="181">
        <f t="shared" si="4"/>
        <v>0</v>
      </c>
    </row>
    <row r="269" spans="1:5">
      <c r="A269" s="23" t="s">
        <v>34</v>
      </c>
      <c r="B269" s="23" t="s">
        <v>1738</v>
      </c>
      <c r="C269" s="178">
        <v>135164</v>
      </c>
      <c r="D269" s="178">
        <v>11318</v>
      </c>
      <c r="E269" s="181">
        <f t="shared" si="4"/>
        <v>146482</v>
      </c>
    </row>
    <row r="270" spans="1:5">
      <c r="A270" s="23" t="s">
        <v>36</v>
      </c>
      <c r="B270" s="23" t="s">
        <v>1455</v>
      </c>
      <c r="C270" s="178">
        <v>3113</v>
      </c>
      <c r="D270" s="178">
        <v>261</v>
      </c>
      <c r="E270" s="181">
        <f t="shared" si="4"/>
        <v>3374</v>
      </c>
    </row>
    <row r="271" spans="1:5">
      <c r="A271" s="23" t="s">
        <v>522</v>
      </c>
      <c r="B271" s="23" t="s">
        <v>1739</v>
      </c>
      <c r="C271" s="178">
        <v>24131</v>
      </c>
      <c r="D271" s="178">
        <v>2020</v>
      </c>
      <c r="E271" s="181">
        <f t="shared" si="4"/>
        <v>26151</v>
      </c>
    </row>
    <row r="272" spans="1:5">
      <c r="A272" s="23" t="s">
        <v>485</v>
      </c>
      <c r="B272" s="23" t="s">
        <v>1740</v>
      </c>
      <c r="C272" s="178">
        <v>71413</v>
      </c>
      <c r="D272" s="178">
        <v>10930</v>
      </c>
      <c r="E272" s="181">
        <f t="shared" si="4"/>
        <v>82343</v>
      </c>
    </row>
    <row r="273" spans="1:5">
      <c r="A273" s="23" t="s">
        <v>298</v>
      </c>
      <c r="B273" s="23" t="s">
        <v>1456</v>
      </c>
      <c r="C273" s="178">
        <v>149378</v>
      </c>
      <c r="D273" s="178">
        <v>11728</v>
      </c>
      <c r="E273" s="181">
        <f t="shared" si="4"/>
        <v>161106</v>
      </c>
    </row>
    <row r="274" spans="1:5">
      <c r="A274" s="23" t="s">
        <v>299</v>
      </c>
      <c r="B274" s="23" t="s">
        <v>1497</v>
      </c>
      <c r="C274" s="178">
        <v>18783</v>
      </c>
      <c r="D274" s="178">
        <v>0</v>
      </c>
      <c r="E274" s="181">
        <f t="shared" si="4"/>
        <v>18783</v>
      </c>
    </row>
    <row r="275" spans="1:5">
      <c r="A275" s="127" t="s">
        <v>1311</v>
      </c>
      <c r="B275" s="1" t="s">
        <v>2082</v>
      </c>
      <c r="C275" s="178">
        <v>0</v>
      </c>
      <c r="D275" s="178">
        <v>0</v>
      </c>
      <c r="E275" s="181">
        <f t="shared" si="4"/>
        <v>0</v>
      </c>
    </row>
    <row r="276" spans="1:5">
      <c r="A276" s="23" t="s">
        <v>300</v>
      </c>
      <c r="B276" s="23" t="s">
        <v>1457</v>
      </c>
      <c r="C276" s="178">
        <v>17799</v>
      </c>
      <c r="D276" s="178">
        <v>1490</v>
      </c>
      <c r="E276" s="181">
        <f t="shared" si="4"/>
        <v>19289</v>
      </c>
    </row>
    <row r="277" spans="1:5">
      <c r="A277" s="23" t="s">
        <v>302</v>
      </c>
      <c r="B277" s="23" t="s">
        <v>1741</v>
      </c>
      <c r="C277" s="178">
        <v>13476</v>
      </c>
      <c r="D277" s="178">
        <v>0</v>
      </c>
      <c r="E277" s="181">
        <f t="shared" si="4"/>
        <v>13476</v>
      </c>
    </row>
    <row r="278" spans="1:5">
      <c r="A278" s="127" t="s">
        <v>1161</v>
      </c>
      <c r="B278" s="1" t="s">
        <v>2083</v>
      </c>
      <c r="C278" s="178">
        <v>0</v>
      </c>
      <c r="D278" s="178">
        <v>0</v>
      </c>
      <c r="E278" s="181">
        <f t="shared" si="4"/>
        <v>0</v>
      </c>
    </row>
    <row r="279" spans="1:5">
      <c r="A279" s="23" t="s">
        <v>306</v>
      </c>
      <c r="B279" s="23" t="s">
        <v>1458</v>
      </c>
      <c r="C279" s="178">
        <v>6048</v>
      </c>
      <c r="D279" s="178">
        <v>851</v>
      </c>
      <c r="E279" s="181">
        <f t="shared" si="4"/>
        <v>6899</v>
      </c>
    </row>
    <row r="280" spans="1:5">
      <c r="A280" s="23" t="s">
        <v>308</v>
      </c>
      <c r="B280" s="23" t="s">
        <v>1459</v>
      </c>
      <c r="C280" s="178">
        <v>0</v>
      </c>
      <c r="D280" s="178">
        <v>0</v>
      </c>
      <c r="E280" s="181">
        <f t="shared" si="4"/>
        <v>0</v>
      </c>
    </row>
    <row r="281" spans="1:5">
      <c r="A281" s="23" t="s">
        <v>310</v>
      </c>
      <c r="B281" s="23" t="s">
        <v>1460</v>
      </c>
      <c r="C281" s="178">
        <v>0</v>
      </c>
      <c r="D281" s="178">
        <v>0</v>
      </c>
      <c r="E281" s="181">
        <f t="shared" si="4"/>
        <v>0</v>
      </c>
    </row>
    <row r="282" spans="1:5">
      <c r="A282" s="23" t="s">
        <v>312</v>
      </c>
      <c r="B282" s="23" t="s">
        <v>1461</v>
      </c>
      <c r="C282" s="178">
        <v>18708</v>
      </c>
      <c r="D282" s="178">
        <v>2569</v>
      </c>
      <c r="E282" s="181">
        <f t="shared" si="4"/>
        <v>21277</v>
      </c>
    </row>
    <row r="283" spans="1:5">
      <c r="A283" s="23" t="s">
        <v>173</v>
      </c>
      <c r="B283" s="23" t="s">
        <v>1498</v>
      </c>
      <c r="C283" s="178">
        <v>0</v>
      </c>
      <c r="D283" s="178">
        <v>0</v>
      </c>
      <c r="E283" s="181">
        <f t="shared" si="4"/>
        <v>0</v>
      </c>
    </row>
    <row r="284" spans="1:5">
      <c r="A284" s="23" t="s">
        <v>177</v>
      </c>
      <c r="B284" s="23" t="s">
        <v>1742</v>
      </c>
      <c r="C284" s="178">
        <v>0</v>
      </c>
      <c r="D284" s="178">
        <v>0</v>
      </c>
      <c r="E284" s="181">
        <f t="shared" si="4"/>
        <v>0</v>
      </c>
    </row>
    <row r="285" spans="1:5">
      <c r="A285" s="23" t="s">
        <v>179</v>
      </c>
      <c r="B285" s="23" t="s">
        <v>1462</v>
      </c>
      <c r="C285" s="178">
        <v>210258</v>
      </c>
      <c r="D285" s="178">
        <v>33040</v>
      </c>
      <c r="E285" s="181">
        <f t="shared" si="4"/>
        <v>243298</v>
      </c>
    </row>
    <row r="286" spans="1:5">
      <c r="A286" s="23" t="s">
        <v>181</v>
      </c>
      <c r="B286" s="23" t="s">
        <v>1743</v>
      </c>
      <c r="C286" s="178">
        <v>58905</v>
      </c>
      <c r="D286" s="178">
        <v>11771</v>
      </c>
      <c r="E286" s="181">
        <f t="shared" si="4"/>
        <v>70676</v>
      </c>
    </row>
    <row r="287" spans="1:5" ht="13.5" thickBot="1">
      <c r="A287" s="23" t="s">
        <v>407</v>
      </c>
      <c r="B287" s="23" t="s">
        <v>1463</v>
      </c>
      <c r="C287" s="251">
        <v>32569</v>
      </c>
      <c r="D287" s="251">
        <v>1048</v>
      </c>
      <c r="E287" s="181">
        <f t="shared" si="4"/>
        <v>33617</v>
      </c>
    </row>
    <row r="288" spans="1:5">
      <c r="A288" s="23"/>
      <c r="B288" s="252" t="s">
        <v>2084</v>
      </c>
      <c r="C288" s="253">
        <f>SUBTOTAL(9,C4:C287)</f>
        <v>20982532</v>
      </c>
      <c r="D288" s="253">
        <f>SUBTOTAL(9,D4:D287)</f>
        <v>2079202</v>
      </c>
    </row>
  </sheetData>
  <mergeCells count="2">
    <mergeCell ref="A1:D1"/>
    <mergeCell ref="A2:D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E1B26-BC91-40FA-A817-20514C2FDF04}">
  <sheetPr>
    <tabColor rgb="FF92D050"/>
  </sheetPr>
  <dimension ref="A1:H320"/>
  <sheetViews>
    <sheetView workbookViewId="0">
      <selection activeCell="F91" sqref="F91"/>
    </sheetView>
  </sheetViews>
  <sheetFormatPr defaultRowHeight="12.75"/>
  <cols>
    <col min="3" max="3" width="36.28515625" bestFit="1" customWidth="1"/>
    <col min="4" max="8" width="18.7109375" customWidth="1"/>
  </cols>
  <sheetData>
    <row r="1" spans="1:8" ht="75">
      <c r="A1" s="119" t="s">
        <v>867</v>
      </c>
      <c r="B1" s="119"/>
      <c r="C1" s="119" t="s">
        <v>1577</v>
      </c>
      <c r="D1" s="120" t="s">
        <v>1578</v>
      </c>
      <c r="E1" s="120" t="s">
        <v>1579</v>
      </c>
      <c r="F1" s="120" t="s">
        <v>1580</v>
      </c>
      <c r="G1" s="120" t="s">
        <v>1581</v>
      </c>
      <c r="H1" s="120" t="s">
        <v>1582</v>
      </c>
    </row>
    <row r="2" spans="1:8">
      <c r="A2" s="121" t="s">
        <v>51</v>
      </c>
      <c r="B2" s="121" t="s">
        <v>965</v>
      </c>
      <c r="C2" s="122" t="s">
        <v>52</v>
      </c>
      <c r="D2" s="129">
        <v>87894</v>
      </c>
      <c r="E2" s="129">
        <f>ROUND(D2*1.2414,2)</f>
        <v>109111.61</v>
      </c>
      <c r="F2" s="129">
        <v>0</v>
      </c>
      <c r="G2" s="129">
        <f>ROUND(F2*1.2268,2)</f>
        <v>0</v>
      </c>
      <c r="H2" s="168">
        <f>E2+G2</f>
        <v>109111.61</v>
      </c>
    </row>
    <row r="3" spans="1:8">
      <c r="A3" s="121" t="s">
        <v>53</v>
      </c>
      <c r="B3" s="121" t="s">
        <v>965</v>
      </c>
      <c r="C3" s="122" t="s">
        <v>54</v>
      </c>
      <c r="D3" s="129">
        <v>0</v>
      </c>
      <c r="E3" s="129">
        <f t="shared" ref="E3:E66" si="0">ROUND(D3*1.2414,2)</f>
        <v>0</v>
      </c>
      <c r="F3" s="129">
        <v>0</v>
      </c>
      <c r="G3" s="129">
        <f t="shared" ref="G3:G66" si="1">ROUND(F3*1.2268,2)</f>
        <v>0</v>
      </c>
      <c r="H3" s="168">
        <f t="shared" ref="H3:H67" si="2">E3+G3</f>
        <v>0</v>
      </c>
    </row>
    <row r="4" spans="1:8">
      <c r="A4" s="121" t="s">
        <v>55</v>
      </c>
      <c r="B4" s="121" t="s">
        <v>966</v>
      </c>
      <c r="C4" s="122" t="s">
        <v>56</v>
      </c>
      <c r="D4" s="129">
        <v>0</v>
      </c>
      <c r="E4" s="129">
        <f t="shared" si="0"/>
        <v>0</v>
      </c>
      <c r="F4" s="129">
        <v>0</v>
      </c>
      <c r="G4" s="129">
        <f t="shared" si="1"/>
        <v>0</v>
      </c>
      <c r="H4" s="168">
        <f t="shared" si="2"/>
        <v>0</v>
      </c>
    </row>
    <row r="5" spans="1:8">
      <c r="A5" s="121" t="s">
        <v>182</v>
      </c>
      <c r="B5" s="121" t="s">
        <v>967</v>
      </c>
      <c r="C5" s="122" t="s">
        <v>183</v>
      </c>
      <c r="D5" s="129">
        <v>5950</v>
      </c>
      <c r="E5" s="129">
        <f t="shared" si="0"/>
        <v>7386.33</v>
      </c>
      <c r="F5" s="129">
        <v>0</v>
      </c>
      <c r="G5" s="129">
        <f t="shared" si="1"/>
        <v>0</v>
      </c>
      <c r="H5" s="168">
        <f t="shared" si="2"/>
        <v>7386.33</v>
      </c>
    </row>
    <row r="6" spans="1:8">
      <c r="A6" s="121" t="s">
        <v>471</v>
      </c>
      <c r="B6" s="121" t="s">
        <v>967</v>
      </c>
      <c r="C6" s="122" t="s">
        <v>472</v>
      </c>
      <c r="D6" s="129">
        <v>663457</v>
      </c>
      <c r="E6" s="129">
        <f t="shared" si="0"/>
        <v>823615.52</v>
      </c>
      <c r="F6" s="129">
        <v>149044</v>
      </c>
      <c r="G6" s="129">
        <f t="shared" si="1"/>
        <v>182847.18</v>
      </c>
      <c r="H6" s="168">
        <f t="shared" si="2"/>
        <v>1006462.7</v>
      </c>
    </row>
    <row r="7" spans="1:8">
      <c r="A7" s="121" t="s">
        <v>473</v>
      </c>
      <c r="B7" s="121" t="s">
        <v>968</v>
      </c>
      <c r="C7" s="122" t="s">
        <v>1012</v>
      </c>
      <c r="D7" s="129">
        <v>16523</v>
      </c>
      <c r="E7" s="129">
        <f t="shared" si="0"/>
        <v>20511.650000000001</v>
      </c>
      <c r="F7" s="129">
        <v>0</v>
      </c>
      <c r="G7" s="129">
        <f t="shared" si="1"/>
        <v>0</v>
      </c>
      <c r="H7" s="168">
        <f t="shared" si="2"/>
        <v>20511.650000000001</v>
      </c>
    </row>
    <row r="8" spans="1:8">
      <c r="A8" s="121" t="s">
        <v>474</v>
      </c>
      <c r="B8" s="121" t="s">
        <v>969</v>
      </c>
      <c r="C8" s="122" t="s">
        <v>475</v>
      </c>
      <c r="D8" s="129">
        <v>2594942</v>
      </c>
      <c r="E8" s="129">
        <f t="shared" si="0"/>
        <v>3221361</v>
      </c>
      <c r="F8" s="129">
        <v>7847</v>
      </c>
      <c r="G8" s="129">
        <f t="shared" si="1"/>
        <v>9626.7000000000007</v>
      </c>
      <c r="H8" s="168">
        <f t="shared" si="2"/>
        <v>3230987.7</v>
      </c>
    </row>
    <row r="9" spans="1:8">
      <c r="A9" s="121" t="s">
        <v>476</v>
      </c>
      <c r="B9" s="121" t="s">
        <v>969</v>
      </c>
      <c r="C9" s="122" t="s">
        <v>575</v>
      </c>
      <c r="D9" s="129">
        <v>186456</v>
      </c>
      <c r="E9" s="129">
        <f t="shared" si="0"/>
        <v>231466.48</v>
      </c>
      <c r="F9" s="129">
        <v>250</v>
      </c>
      <c r="G9" s="129">
        <f t="shared" si="1"/>
        <v>306.7</v>
      </c>
      <c r="H9" s="168">
        <f t="shared" si="2"/>
        <v>231773.18000000002</v>
      </c>
    </row>
    <row r="10" spans="1:8">
      <c r="A10" s="121" t="s">
        <v>477</v>
      </c>
      <c r="B10" s="121" t="s">
        <v>970</v>
      </c>
      <c r="C10" s="122" t="s">
        <v>194</v>
      </c>
      <c r="D10" s="129">
        <v>1097571</v>
      </c>
      <c r="E10" s="129">
        <f t="shared" si="0"/>
        <v>1362524.64</v>
      </c>
      <c r="F10" s="129">
        <v>4225</v>
      </c>
      <c r="G10" s="129">
        <f t="shared" si="1"/>
        <v>5183.2299999999996</v>
      </c>
      <c r="H10" s="168">
        <f t="shared" si="2"/>
        <v>1367707.8699999999</v>
      </c>
    </row>
    <row r="11" spans="1:8">
      <c r="A11" s="121" t="s">
        <v>195</v>
      </c>
      <c r="B11" s="121" t="s">
        <v>969</v>
      </c>
      <c r="C11" s="122" t="s">
        <v>196</v>
      </c>
      <c r="D11" s="129">
        <v>2938592</v>
      </c>
      <c r="E11" s="129">
        <f t="shared" si="0"/>
        <v>3647968.11</v>
      </c>
      <c r="F11" s="129">
        <v>1100</v>
      </c>
      <c r="G11" s="129">
        <f t="shared" si="1"/>
        <v>1349.48</v>
      </c>
      <c r="H11" s="168">
        <f t="shared" si="2"/>
        <v>3649317.59</v>
      </c>
    </row>
    <row r="12" spans="1:8">
      <c r="A12" s="121" t="s">
        <v>197</v>
      </c>
      <c r="B12" s="121" t="s">
        <v>967</v>
      </c>
      <c r="C12" s="122" t="s">
        <v>198</v>
      </c>
      <c r="D12" s="129">
        <v>756221</v>
      </c>
      <c r="E12" s="129">
        <f t="shared" si="0"/>
        <v>938772.75</v>
      </c>
      <c r="F12" s="129">
        <v>357970</v>
      </c>
      <c r="G12" s="129">
        <f t="shared" si="1"/>
        <v>439157.6</v>
      </c>
      <c r="H12" s="168">
        <f t="shared" si="2"/>
        <v>1377930.35</v>
      </c>
    </row>
    <row r="13" spans="1:8">
      <c r="A13" s="121" t="s">
        <v>199</v>
      </c>
      <c r="B13" s="121" t="s">
        <v>966</v>
      </c>
      <c r="C13" s="122" t="s">
        <v>200</v>
      </c>
      <c r="D13" s="129">
        <v>0</v>
      </c>
      <c r="E13" s="129">
        <f t="shared" si="0"/>
        <v>0</v>
      </c>
      <c r="F13" s="129">
        <v>0</v>
      </c>
      <c r="G13" s="129">
        <f t="shared" si="1"/>
        <v>0</v>
      </c>
      <c r="H13" s="168">
        <f t="shared" si="2"/>
        <v>0</v>
      </c>
    </row>
    <row r="14" spans="1:8">
      <c r="A14" s="121" t="s">
        <v>201</v>
      </c>
      <c r="B14" s="121" t="s">
        <v>969</v>
      </c>
      <c r="C14" s="122" t="s">
        <v>202</v>
      </c>
      <c r="D14" s="129">
        <v>3038385</v>
      </c>
      <c r="E14" s="129">
        <f t="shared" si="0"/>
        <v>3771851.14</v>
      </c>
      <c r="F14" s="129">
        <v>40508</v>
      </c>
      <c r="G14" s="129">
        <f t="shared" si="1"/>
        <v>49695.21</v>
      </c>
      <c r="H14" s="168">
        <f t="shared" si="2"/>
        <v>3821546.35</v>
      </c>
    </row>
    <row r="15" spans="1:8">
      <c r="A15" s="121" t="s">
        <v>203</v>
      </c>
      <c r="B15" s="121" t="s">
        <v>971</v>
      </c>
      <c r="C15" s="122" t="s">
        <v>13</v>
      </c>
      <c r="D15" s="129">
        <v>0</v>
      </c>
      <c r="E15" s="129">
        <f t="shared" si="0"/>
        <v>0</v>
      </c>
      <c r="F15" s="129">
        <v>0</v>
      </c>
      <c r="G15" s="129">
        <f t="shared" si="1"/>
        <v>0</v>
      </c>
      <c r="H15" s="168">
        <f t="shared" si="2"/>
        <v>0</v>
      </c>
    </row>
    <row r="16" spans="1:8">
      <c r="A16" s="121" t="s">
        <v>14</v>
      </c>
      <c r="B16" s="121" t="s">
        <v>967</v>
      </c>
      <c r="C16" s="122" t="s">
        <v>15</v>
      </c>
      <c r="D16" s="129">
        <v>133055</v>
      </c>
      <c r="E16" s="129">
        <f t="shared" si="0"/>
        <v>165174.48000000001</v>
      </c>
      <c r="F16" s="129">
        <v>56346</v>
      </c>
      <c r="G16" s="129">
        <f t="shared" si="1"/>
        <v>69125.27</v>
      </c>
      <c r="H16" s="168">
        <f t="shared" si="2"/>
        <v>234299.75</v>
      </c>
    </row>
    <row r="17" spans="1:8">
      <c r="A17" s="121" t="s">
        <v>16</v>
      </c>
      <c r="B17" s="121" t="s">
        <v>965</v>
      </c>
      <c r="C17" s="122" t="s">
        <v>17</v>
      </c>
      <c r="D17" s="129">
        <v>0</v>
      </c>
      <c r="E17" s="129">
        <f t="shared" si="0"/>
        <v>0</v>
      </c>
      <c r="F17" s="129">
        <v>918</v>
      </c>
      <c r="G17" s="129">
        <f t="shared" si="1"/>
        <v>1126.2</v>
      </c>
      <c r="H17" s="168">
        <f t="shared" si="2"/>
        <v>1126.2</v>
      </c>
    </row>
    <row r="18" spans="1:8">
      <c r="A18" s="121" t="s">
        <v>524</v>
      </c>
      <c r="B18" s="121" t="s">
        <v>972</v>
      </c>
      <c r="C18" s="122" t="s">
        <v>525</v>
      </c>
      <c r="D18" s="129">
        <v>74037</v>
      </c>
      <c r="E18" s="129">
        <f t="shared" si="0"/>
        <v>91909.53</v>
      </c>
      <c r="F18" s="129">
        <v>115589</v>
      </c>
      <c r="G18" s="129">
        <f t="shared" si="1"/>
        <v>141804.59</v>
      </c>
      <c r="H18" s="168">
        <f t="shared" si="2"/>
        <v>233714.12</v>
      </c>
    </row>
    <row r="19" spans="1:8">
      <c r="A19" s="121" t="s">
        <v>526</v>
      </c>
      <c r="B19" s="121" t="s">
        <v>973</v>
      </c>
      <c r="C19" s="122" t="s">
        <v>527</v>
      </c>
      <c r="D19" s="129">
        <v>11074</v>
      </c>
      <c r="E19" s="129">
        <f t="shared" si="0"/>
        <v>13747.26</v>
      </c>
      <c r="F19" s="129">
        <v>0</v>
      </c>
      <c r="G19" s="129">
        <f t="shared" si="1"/>
        <v>0</v>
      </c>
      <c r="H19" s="168">
        <f t="shared" si="2"/>
        <v>13747.26</v>
      </c>
    </row>
    <row r="20" spans="1:8">
      <c r="A20" s="121" t="s">
        <v>528</v>
      </c>
      <c r="B20" s="121" t="s">
        <v>973</v>
      </c>
      <c r="C20" s="122" t="s">
        <v>529</v>
      </c>
      <c r="D20" s="129">
        <v>0</v>
      </c>
      <c r="E20" s="129">
        <f t="shared" si="0"/>
        <v>0</v>
      </c>
      <c r="F20" s="129">
        <v>0</v>
      </c>
      <c r="G20" s="129">
        <f t="shared" si="1"/>
        <v>0</v>
      </c>
      <c r="H20" s="168">
        <f t="shared" si="2"/>
        <v>0</v>
      </c>
    </row>
    <row r="21" spans="1:8">
      <c r="A21" s="121" t="s">
        <v>530</v>
      </c>
      <c r="B21" s="121" t="s">
        <v>972</v>
      </c>
      <c r="C21" s="122" t="s">
        <v>531</v>
      </c>
      <c r="D21" s="129">
        <v>0</v>
      </c>
      <c r="E21" s="129">
        <f t="shared" si="0"/>
        <v>0</v>
      </c>
      <c r="F21" s="129">
        <v>0</v>
      </c>
      <c r="G21" s="129">
        <f t="shared" si="1"/>
        <v>0</v>
      </c>
      <c r="H21" s="168">
        <f t="shared" si="2"/>
        <v>0</v>
      </c>
    </row>
    <row r="22" spans="1:8">
      <c r="A22" s="121" t="s">
        <v>532</v>
      </c>
      <c r="B22" s="121" t="s">
        <v>967</v>
      </c>
      <c r="C22" s="122" t="s">
        <v>533</v>
      </c>
      <c r="D22" s="129">
        <v>71204</v>
      </c>
      <c r="E22" s="129">
        <f t="shared" si="0"/>
        <v>88392.65</v>
      </c>
      <c r="F22" s="129">
        <v>450</v>
      </c>
      <c r="G22" s="129">
        <f t="shared" si="1"/>
        <v>552.05999999999995</v>
      </c>
      <c r="H22" s="168">
        <f t="shared" si="2"/>
        <v>88944.709999999992</v>
      </c>
    </row>
    <row r="23" spans="1:8">
      <c r="A23" s="121" t="s">
        <v>534</v>
      </c>
      <c r="B23" s="121" t="s">
        <v>970</v>
      </c>
      <c r="C23" s="122" t="s">
        <v>535</v>
      </c>
      <c r="D23" s="129">
        <v>492728</v>
      </c>
      <c r="E23" s="129">
        <f t="shared" si="0"/>
        <v>611672.54</v>
      </c>
      <c r="F23" s="129">
        <v>0</v>
      </c>
      <c r="G23" s="129">
        <f t="shared" si="1"/>
        <v>0</v>
      </c>
      <c r="H23" s="168">
        <f t="shared" si="2"/>
        <v>611672.54</v>
      </c>
    </row>
    <row r="24" spans="1:8">
      <c r="A24" s="121" t="s">
        <v>536</v>
      </c>
      <c r="B24" s="121" t="s">
        <v>972</v>
      </c>
      <c r="C24" s="122" t="s">
        <v>537</v>
      </c>
      <c r="D24" s="129">
        <v>10320</v>
      </c>
      <c r="E24" s="129">
        <f t="shared" si="0"/>
        <v>12811.25</v>
      </c>
      <c r="F24" s="129">
        <v>10930</v>
      </c>
      <c r="G24" s="129">
        <f t="shared" si="1"/>
        <v>13408.92</v>
      </c>
      <c r="H24" s="168">
        <f t="shared" si="2"/>
        <v>26220.17</v>
      </c>
    </row>
    <row r="25" spans="1:8">
      <c r="A25" s="121" t="s">
        <v>538</v>
      </c>
      <c r="B25" s="121" t="s">
        <v>969</v>
      </c>
      <c r="C25" s="122" t="s">
        <v>539</v>
      </c>
      <c r="D25" s="129">
        <v>0</v>
      </c>
      <c r="E25" s="129">
        <f t="shared" si="0"/>
        <v>0</v>
      </c>
      <c r="F25" s="129">
        <v>0</v>
      </c>
      <c r="G25" s="129">
        <f t="shared" si="1"/>
        <v>0</v>
      </c>
      <c r="H25" s="168">
        <f t="shared" si="2"/>
        <v>0</v>
      </c>
    </row>
    <row r="26" spans="1:8">
      <c r="A26" s="121" t="s">
        <v>151</v>
      </c>
      <c r="B26" s="121" t="s">
        <v>973</v>
      </c>
      <c r="C26" s="122" t="s">
        <v>152</v>
      </c>
      <c r="D26" s="129">
        <v>27845</v>
      </c>
      <c r="E26" s="129">
        <f t="shared" si="0"/>
        <v>34566.78</v>
      </c>
      <c r="F26" s="129">
        <v>0</v>
      </c>
      <c r="G26" s="129">
        <f t="shared" si="1"/>
        <v>0</v>
      </c>
      <c r="H26" s="168">
        <f t="shared" si="2"/>
        <v>34566.78</v>
      </c>
    </row>
    <row r="27" spans="1:8">
      <c r="A27" s="121" t="s">
        <v>153</v>
      </c>
      <c r="B27" s="121" t="s">
        <v>973</v>
      </c>
      <c r="C27" s="122" t="s">
        <v>154</v>
      </c>
      <c r="D27" s="129">
        <v>17565</v>
      </c>
      <c r="E27" s="129">
        <f t="shared" si="0"/>
        <v>21805.19</v>
      </c>
      <c r="F27" s="129">
        <v>5844</v>
      </c>
      <c r="G27" s="129">
        <f t="shared" si="1"/>
        <v>7169.42</v>
      </c>
      <c r="H27" s="168">
        <f t="shared" si="2"/>
        <v>28974.61</v>
      </c>
    </row>
    <row r="28" spans="1:8">
      <c r="A28" s="121" t="s">
        <v>155</v>
      </c>
      <c r="B28" s="121" t="s">
        <v>970</v>
      </c>
      <c r="C28" s="122" t="s">
        <v>156</v>
      </c>
      <c r="D28" s="129">
        <v>41146</v>
      </c>
      <c r="E28" s="129">
        <f t="shared" si="0"/>
        <v>51078.64</v>
      </c>
      <c r="F28" s="129">
        <v>15173</v>
      </c>
      <c r="G28" s="129">
        <f t="shared" si="1"/>
        <v>18614.240000000002</v>
      </c>
      <c r="H28" s="168">
        <f t="shared" si="2"/>
        <v>69692.88</v>
      </c>
    </row>
    <row r="29" spans="1:8">
      <c r="A29" s="121"/>
      <c r="B29" s="121"/>
      <c r="C29" s="122" t="s">
        <v>1352</v>
      </c>
      <c r="D29" s="129">
        <v>0</v>
      </c>
      <c r="E29" s="129">
        <f t="shared" si="0"/>
        <v>0</v>
      </c>
      <c r="F29" s="129">
        <v>0</v>
      </c>
      <c r="G29" s="129">
        <f t="shared" si="1"/>
        <v>0</v>
      </c>
      <c r="H29" s="168">
        <f t="shared" si="2"/>
        <v>0</v>
      </c>
    </row>
    <row r="30" spans="1:8">
      <c r="A30" s="121" t="s">
        <v>157</v>
      </c>
      <c r="B30" s="121" t="s">
        <v>970</v>
      </c>
      <c r="C30" s="122" t="s">
        <v>158</v>
      </c>
      <c r="D30" s="129">
        <v>0</v>
      </c>
      <c r="E30" s="129">
        <f t="shared" si="0"/>
        <v>0</v>
      </c>
      <c r="F30" s="129">
        <v>0</v>
      </c>
      <c r="G30" s="129">
        <f t="shared" si="1"/>
        <v>0</v>
      </c>
      <c r="H30" s="168">
        <f t="shared" si="2"/>
        <v>0</v>
      </c>
    </row>
    <row r="31" spans="1:8">
      <c r="A31" s="121" t="s">
        <v>281</v>
      </c>
      <c r="B31" s="121" t="s">
        <v>972</v>
      </c>
      <c r="C31" s="122" t="s">
        <v>282</v>
      </c>
      <c r="D31" s="129">
        <v>0</v>
      </c>
      <c r="E31" s="129">
        <f t="shared" si="0"/>
        <v>0</v>
      </c>
      <c r="F31" s="129">
        <v>12945</v>
      </c>
      <c r="G31" s="129">
        <f t="shared" si="1"/>
        <v>15880.93</v>
      </c>
      <c r="H31" s="168">
        <f t="shared" si="2"/>
        <v>15880.93</v>
      </c>
    </row>
    <row r="32" spans="1:8">
      <c r="A32" s="121" t="s">
        <v>283</v>
      </c>
      <c r="B32" s="121" t="s">
        <v>966</v>
      </c>
      <c r="C32" s="122" t="s">
        <v>284</v>
      </c>
      <c r="D32" s="129">
        <v>471729</v>
      </c>
      <c r="E32" s="129">
        <f t="shared" si="0"/>
        <v>585604.38</v>
      </c>
      <c r="F32" s="129">
        <v>0</v>
      </c>
      <c r="G32" s="129">
        <f t="shared" si="1"/>
        <v>0</v>
      </c>
      <c r="H32" s="168">
        <f t="shared" si="2"/>
        <v>585604.38</v>
      </c>
    </row>
    <row r="33" spans="1:8">
      <c r="A33" s="121" t="s">
        <v>285</v>
      </c>
      <c r="B33" s="121" t="s">
        <v>965</v>
      </c>
      <c r="C33" s="122" t="s">
        <v>286</v>
      </c>
      <c r="D33" s="129">
        <v>218831</v>
      </c>
      <c r="E33" s="129">
        <f t="shared" si="0"/>
        <v>271656.8</v>
      </c>
      <c r="F33" s="129">
        <v>0</v>
      </c>
      <c r="G33" s="129">
        <f t="shared" si="1"/>
        <v>0</v>
      </c>
      <c r="H33" s="168">
        <f t="shared" si="2"/>
        <v>271656.8</v>
      </c>
    </row>
    <row r="34" spans="1:8">
      <c r="A34" s="121" t="s">
        <v>287</v>
      </c>
      <c r="B34" s="121" t="s">
        <v>965</v>
      </c>
      <c r="C34" s="122" t="s">
        <v>288</v>
      </c>
      <c r="D34" s="129">
        <v>94483</v>
      </c>
      <c r="E34" s="129">
        <f t="shared" si="0"/>
        <v>117291.2</v>
      </c>
      <c r="F34" s="129">
        <v>520</v>
      </c>
      <c r="G34" s="129">
        <f t="shared" si="1"/>
        <v>637.94000000000005</v>
      </c>
      <c r="H34" s="168">
        <f t="shared" si="2"/>
        <v>117929.14</v>
      </c>
    </row>
    <row r="35" spans="1:8">
      <c r="A35" s="121" t="s">
        <v>289</v>
      </c>
      <c r="B35" s="121" t="s">
        <v>966</v>
      </c>
      <c r="C35" s="122" t="s">
        <v>290</v>
      </c>
      <c r="D35" s="129">
        <v>187075</v>
      </c>
      <c r="E35" s="129">
        <f t="shared" si="0"/>
        <v>232234.91</v>
      </c>
      <c r="F35" s="129">
        <v>65298</v>
      </c>
      <c r="G35" s="129">
        <f t="shared" si="1"/>
        <v>80107.59</v>
      </c>
      <c r="H35" s="168">
        <f t="shared" si="2"/>
        <v>312342.5</v>
      </c>
    </row>
    <row r="36" spans="1:8">
      <c r="A36" s="121" t="s">
        <v>291</v>
      </c>
      <c r="B36" s="121" t="s">
        <v>966</v>
      </c>
      <c r="C36" s="122" t="s">
        <v>18</v>
      </c>
      <c r="D36" s="129">
        <v>47999</v>
      </c>
      <c r="E36" s="129">
        <f t="shared" si="0"/>
        <v>59585.96</v>
      </c>
      <c r="F36" s="129">
        <v>11822</v>
      </c>
      <c r="G36" s="129">
        <f t="shared" si="1"/>
        <v>14503.23</v>
      </c>
      <c r="H36" s="168">
        <f t="shared" si="2"/>
        <v>74089.19</v>
      </c>
    </row>
    <row r="37" spans="1:8">
      <c r="A37" s="121" t="s">
        <v>1013</v>
      </c>
      <c r="B37" s="121">
        <v>121</v>
      </c>
      <c r="C37" s="122" t="s">
        <v>1014</v>
      </c>
      <c r="D37" s="129">
        <v>0</v>
      </c>
      <c r="E37" s="129">
        <f t="shared" si="0"/>
        <v>0</v>
      </c>
      <c r="F37" s="129">
        <v>0</v>
      </c>
      <c r="G37" s="129">
        <f t="shared" si="1"/>
        <v>0</v>
      </c>
      <c r="H37" s="168">
        <f t="shared" si="2"/>
        <v>0</v>
      </c>
    </row>
    <row r="38" spans="1:8">
      <c r="A38" s="121" t="s">
        <v>19</v>
      </c>
      <c r="B38" s="121" t="s">
        <v>972</v>
      </c>
      <c r="C38" s="122" t="s">
        <v>20</v>
      </c>
      <c r="D38" s="129">
        <v>33242</v>
      </c>
      <c r="E38" s="129">
        <f t="shared" si="0"/>
        <v>41266.620000000003</v>
      </c>
      <c r="F38" s="129">
        <v>2111</v>
      </c>
      <c r="G38" s="129">
        <f t="shared" si="1"/>
        <v>2589.77</v>
      </c>
      <c r="H38" s="168">
        <f t="shared" si="2"/>
        <v>43856.39</v>
      </c>
    </row>
    <row r="39" spans="1:8">
      <c r="A39" s="121" t="s">
        <v>21</v>
      </c>
      <c r="B39" s="121" t="s">
        <v>968</v>
      </c>
      <c r="C39" s="122" t="s">
        <v>22</v>
      </c>
      <c r="D39" s="129">
        <v>133117</v>
      </c>
      <c r="E39" s="129">
        <f t="shared" si="0"/>
        <v>165251.44</v>
      </c>
      <c r="F39" s="129">
        <v>1750</v>
      </c>
      <c r="G39" s="129">
        <f t="shared" si="1"/>
        <v>2146.9</v>
      </c>
      <c r="H39" s="168">
        <f t="shared" si="2"/>
        <v>167398.34</v>
      </c>
    </row>
    <row r="40" spans="1:8">
      <c r="A40" s="121" t="s">
        <v>23</v>
      </c>
      <c r="B40" s="121" t="s">
        <v>971</v>
      </c>
      <c r="C40" s="122" t="s">
        <v>24</v>
      </c>
      <c r="D40" s="129">
        <v>22620</v>
      </c>
      <c r="E40" s="129">
        <f t="shared" si="0"/>
        <v>28080.47</v>
      </c>
      <c r="F40" s="129">
        <v>22181</v>
      </c>
      <c r="G40" s="129">
        <f t="shared" si="1"/>
        <v>27211.65</v>
      </c>
      <c r="H40" s="168">
        <f t="shared" si="2"/>
        <v>55292.12</v>
      </c>
    </row>
    <row r="41" spans="1:8">
      <c r="A41" s="121" t="s">
        <v>25</v>
      </c>
      <c r="B41" s="121" t="s">
        <v>969</v>
      </c>
      <c r="C41" s="122" t="s">
        <v>26</v>
      </c>
      <c r="D41" s="129">
        <v>698786</v>
      </c>
      <c r="E41" s="129">
        <f t="shared" si="0"/>
        <v>867472.94</v>
      </c>
      <c r="F41" s="129">
        <v>0</v>
      </c>
      <c r="G41" s="129">
        <f t="shared" si="1"/>
        <v>0</v>
      </c>
      <c r="H41" s="168">
        <f t="shared" si="2"/>
        <v>867472.94</v>
      </c>
    </row>
    <row r="42" spans="1:8">
      <c r="A42" s="121" t="s">
        <v>27</v>
      </c>
      <c r="B42" s="121" t="s">
        <v>966</v>
      </c>
      <c r="C42" s="122" t="s">
        <v>28</v>
      </c>
      <c r="D42" s="129">
        <v>10179</v>
      </c>
      <c r="E42" s="129">
        <f t="shared" si="0"/>
        <v>12636.21</v>
      </c>
      <c r="F42" s="129">
        <v>0</v>
      </c>
      <c r="G42" s="129">
        <f t="shared" si="1"/>
        <v>0</v>
      </c>
      <c r="H42" s="168">
        <f t="shared" si="2"/>
        <v>12636.21</v>
      </c>
    </row>
    <row r="43" spans="1:8">
      <c r="A43" s="121" t="s">
        <v>29</v>
      </c>
      <c r="B43" s="121" t="s">
        <v>968</v>
      </c>
      <c r="C43" s="122" t="s">
        <v>147</v>
      </c>
      <c r="D43" s="129">
        <v>25700</v>
      </c>
      <c r="E43" s="129">
        <f t="shared" si="0"/>
        <v>31903.98</v>
      </c>
      <c r="F43" s="129"/>
      <c r="G43" s="129">
        <f t="shared" si="1"/>
        <v>0</v>
      </c>
      <c r="H43" s="168">
        <f t="shared" si="2"/>
        <v>31903.98</v>
      </c>
    </row>
    <row r="44" spans="1:8">
      <c r="A44" s="121" t="s">
        <v>148</v>
      </c>
      <c r="B44" s="121" t="s">
        <v>966</v>
      </c>
      <c r="C44" s="122" t="s">
        <v>149</v>
      </c>
      <c r="D44" s="129">
        <v>3101</v>
      </c>
      <c r="E44" s="129">
        <f t="shared" si="0"/>
        <v>3849.58</v>
      </c>
      <c r="F44" s="129">
        <v>0</v>
      </c>
      <c r="G44" s="129">
        <f t="shared" si="1"/>
        <v>0</v>
      </c>
      <c r="H44" s="168">
        <f t="shared" si="2"/>
        <v>3849.58</v>
      </c>
    </row>
    <row r="45" spans="1:8">
      <c r="A45" s="121" t="s">
        <v>150</v>
      </c>
      <c r="B45" s="121" t="s">
        <v>966</v>
      </c>
      <c r="C45" s="122" t="s">
        <v>1015</v>
      </c>
      <c r="D45" s="129">
        <v>1596</v>
      </c>
      <c r="E45" s="129">
        <f t="shared" si="0"/>
        <v>1981.27</v>
      </c>
      <c r="F45" s="129">
        <v>0</v>
      </c>
      <c r="G45" s="129">
        <f t="shared" si="1"/>
        <v>0</v>
      </c>
      <c r="H45" s="168">
        <f t="shared" si="2"/>
        <v>1981.27</v>
      </c>
    </row>
    <row r="46" spans="1:8">
      <c r="A46" s="121" t="s">
        <v>133</v>
      </c>
      <c r="B46" s="121" t="s">
        <v>968</v>
      </c>
      <c r="C46" s="122" t="s">
        <v>1016</v>
      </c>
      <c r="D46" s="129">
        <v>13859</v>
      </c>
      <c r="E46" s="129">
        <f t="shared" si="0"/>
        <v>17204.560000000001</v>
      </c>
      <c r="F46" s="129">
        <v>0</v>
      </c>
      <c r="G46" s="129">
        <f t="shared" si="1"/>
        <v>0</v>
      </c>
      <c r="H46" s="168">
        <f t="shared" si="2"/>
        <v>17204.560000000001</v>
      </c>
    </row>
    <row r="47" spans="1:8">
      <c r="A47" s="121" t="s">
        <v>134</v>
      </c>
      <c r="B47" s="121" t="s">
        <v>966</v>
      </c>
      <c r="C47" s="122" t="s">
        <v>135</v>
      </c>
      <c r="D47" s="129">
        <v>59683</v>
      </c>
      <c r="E47" s="129">
        <f t="shared" si="0"/>
        <v>74090.48</v>
      </c>
      <c r="F47" s="129">
        <v>0</v>
      </c>
      <c r="G47" s="129">
        <f t="shared" si="1"/>
        <v>0</v>
      </c>
      <c r="H47" s="168">
        <f t="shared" si="2"/>
        <v>74090.48</v>
      </c>
    </row>
    <row r="48" spans="1:8">
      <c r="A48" s="121" t="s">
        <v>136</v>
      </c>
      <c r="B48" s="121" t="s">
        <v>967</v>
      </c>
      <c r="C48" s="122" t="s">
        <v>137</v>
      </c>
      <c r="D48" s="129">
        <v>4647</v>
      </c>
      <c r="E48" s="129">
        <f t="shared" si="0"/>
        <v>5768.79</v>
      </c>
      <c r="F48" s="129">
        <v>483</v>
      </c>
      <c r="G48" s="129">
        <f t="shared" si="1"/>
        <v>592.54</v>
      </c>
      <c r="H48" s="168">
        <f t="shared" si="2"/>
        <v>6361.33</v>
      </c>
    </row>
    <row r="49" spans="1:8">
      <c r="A49" s="121" t="s">
        <v>138</v>
      </c>
      <c r="B49" s="121" t="s">
        <v>967</v>
      </c>
      <c r="C49" s="122" t="s">
        <v>139</v>
      </c>
      <c r="D49" s="129">
        <v>26246</v>
      </c>
      <c r="E49" s="129">
        <f t="shared" si="0"/>
        <v>32581.78</v>
      </c>
      <c r="F49" s="129">
        <v>0</v>
      </c>
      <c r="G49" s="129">
        <f t="shared" si="1"/>
        <v>0</v>
      </c>
      <c r="H49" s="168">
        <f t="shared" si="2"/>
        <v>32581.78</v>
      </c>
    </row>
    <row r="50" spans="1:8">
      <c r="A50" s="121" t="s">
        <v>140</v>
      </c>
      <c r="B50" s="121" t="s">
        <v>965</v>
      </c>
      <c r="C50" s="122" t="s">
        <v>141</v>
      </c>
      <c r="D50" s="129">
        <v>0</v>
      </c>
      <c r="E50" s="129">
        <f t="shared" si="0"/>
        <v>0</v>
      </c>
      <c r="F50" s="129">
        <v>0</v>
      </c>
      <c r="G50" s="129">
        <f t="shared" si="1"/>
        <v>0</v>
      </c>
      <c r="H50" s="168">
        <f t="shared" si="2"/>
        <v>0</v>
      </c>
    </row>
    <row r="51" spans="1:8">
      <c r="A51" s="121" t="s">
        <v>142</v>
      </c>
      <c r="B51" s="121" t="s">
        <v>973</v>
      </c>
      <c r="C51" s="122" t="s">
        <v>483</v>
      </c>
      <c r="D51" s="129">
        <v>0</v>
      </c>
      <c r="E51" s="129">
        <f t="shared" si="0"/>
        <v>0</v>
      </c>
      <c r="F51" s="129">
        <v>0</v>
      </c>
      <c r="G51" s="129">
        <f t="shared" si="1"/>
        <v>0</v>
      </c>
      <c r="H51" s="168">
        <f t="shared" si="2"/>
        <v>0</v>
      </c>
    </row>
    <row r="52" spans="1:8">
      <c r="A52" s="121" t="s">
        <v>143</v>
      </c>
      <c r="B52" s="121" t="s">
        <v>967</v>
      </c>
      <c r="C52" s="122" t="s">
        <v>11</v>
      </c>
      <c r="D52" s="129">
        <v>15122</v>
      </c>
      <c r="E52" s="129">
        <f t="shared" si="0"/>
        <v>18772.45</v>
      </c>
      <c r="F52" s="129">
        <v>5294</v>
      </c>
      <c r="G52" s="129">
        <f t="shared" si="1"/>
        <v>6494.68</v>
      </c>
      <c r="H52" s="168">
        <f t="shared" si="2"/>
        <v>25267.13</v>
      </c>
    </row>
    <row r="53" spans="1:8">
      <c r="A53" s="121" t="s">
        <v>12</v>
      </c>
      <c r="B53" s="121" t="s">
        <v>972</v>
      </c>
      <c r="C53" s="122" t="s">
        <v>144</v>
      </c>
      <c r="D53" s="129">
        <v>0</v>
      </c>
      <c r="E53" s="129">
        <f t="shared" si="0"/>
        <v>0</v>
      </c>
      <c r="F53" s="129">
        <v>0</v>
      </c>
      <c r="G53" s="129">
        <f t="shared" si="1"/>
        <v>0</v>
      </c>
      <c r="H53" s="168">
        <f t="shared" si="2"/>
        <v>0</v>
      </c>
    </row>
    <row r="54" spans="1:8">
      <c r="A54" s="121" t="s">
        <v>145</v>
      </c>
      <c r="B54" s="121" t="s">
        <v>966</v>
      </c>
      <c r="C54" s="122" t="s">
        <v>146</v>
      </c>
      <c r="D54" s="129">
        <v>4166</v>
      </c>
      <c r="E54" s="129">
        <f t="shared" si="0"/>
        <v>5171.67</v>
      </c>
      <c r="F54" s="129">
        <v>0</v>
      </c>
      <c r="G54" s="129">
        <f t="shared" si="1"/>
        <v>0</v>
      </c>
      <c r="H54" s="168">
        <f t="shared" si="2"/>
        <v>5171.67</v>
      </c>
    </row>
    <row r="55" spans="1:8">
      <c r="A55" s="121" t="s">
        <v>402</v>
      </c>
      <c r="B55" s="121" t="s">
        <v>966</v>
      </c>
      <c r="C55" s="122" t="s">
        <v>403</v>
      </c>
      <c r="D55" s="129">
        <v>5000</v>
      </c>
      <c r="E55" s="129">
        <f t="shared" si="0"/>
        <v>6207</v>
      </c>
      <c r="F55" s="129">
        <v>0</v>
      </c>
      <c r="G55" s="129">
        <f t="shared" si="1"/>
        <v>0</v>
      </c>
      <c r="H55" s="168">
        <f t="shared" si="2"/>
        <v>6207</v>
      </c>
    </row>
    <row r="56" spans="1:8">
      <c r="A56" s="121" t="s">
        <v>404</v>
      </c>
      <c r="B56" s="121" t="s">
        <v>966</v>
      </c>
      <c r="C56" s="122" t="s">
        <v>405</v>
      </c>
      <c r="D56" s="129">
        <v>0</v>
      </c>
      <c r="E56" s="129">
        <f t="shared" si="0"/>
        <v>0</v>
      </c>
      <c r="F56" s="129">
        <v>0</v>
      </c>
      <c r="G56" s="129">
        <f t="shared" si="1"/>
        <v>0</v>
      </c>
      <c r="H56" s="168">
        <f t="shared" si="2"/>
        <v>0</v>
      </c>
    </row>
    <row r="57" spans="1:8">
      <c r="A57" s="121" t="s">
        <v>406</v>
      </c>
      <c r="B57" s="121" t="s">
        <v>971</v>
      </c>
      <c r="C57" s="122" t="s">
        <v>223</v>
      </c>
      <c r="D57" s="129">
        <v>0</v>
      </c>
      <c r="E57" s="129">
        <f t="shared" si="0"/>
        <v>0</v>
      </c>
      <c r="F57" s="129">
        <v>0</v>
      </c>
      <c r="G57" s="129">
        <f t="shared" si="1"/>
        <v>0</v>
      </c>
      <c r="H57" s="168">
        <f t="shared" si="2"/>
        <v>0</v>
      </c>
    </row>
    <row r="58" spans="1:8">
      <c r="A58" s="121" t="s">
        <v>224</v>
      </c>
      <c r="B58" s="121" t="s">
        <v>967</v>
      </c>
      <c r="C58" s="122" t="s">
        <v>225</v>
      </c>
      <c r="D58" s="129">
        <v>9663</v>
      </c>
      <c r="E58" s="129">
        <f t="shared" si="0"/>
        <v>11995.65</v>
      </c>
      <c r="F58" s="129">
        <v>11079</v>
      </c>
      <c r="G58" s="129">
        <f t="shared" si="1"/>
        <v>13591.72</v>
      </c>
      <c r="H58" s="168">
        <f t="shared" si="2"/>
        <v>25587.37</v>
      </c>
    </row>
    <row r="59" spans="1:8">
      <c r="A59" s="121" t="s">
        <v>226</v>
      </c>
      <c r="B59" s="121" t="s">
        <v>966</v>
      </c>
      <c r="C59" s="122" t="s">
        <v>227</v>
      </c>
      <c r="D59" s="129">
        <v>6460</v>
      </c>
      <c r="E59" s="129">
        <f t="shared" si="0"/>
        <v>8019.44</v>
      </c>
      <c r="F59" s="129">
        <v>0</v>
      </c>
      <c r="G59" s="129">
        <f t="shared" si="1"/>
        <v>0</v>
      </c>
      <c r="H59" s="168">
        <f t="shared" si="2"/>
        <v>8019.44</v>
      </c>
    </row>
    <row r="60" spans="1:8">
      <c r="A60" s="121" t="s">
        <v>228</v>
      </c>
      <c r="B60" s="121" t="s">
        <v>968</v>
      </c>
      <c r="C60" s="122" t="s">
        <v>229</v>
      </c>
      <c r="D60" s="129">
        <v>0</v>
      </c>
      <c r="E60" s="129">
        <f t="shared" si="0"/>
        <v>0</v>
      </c>
      <c r="F60" s="129">
        <v>0</v>
      </c>
      <c r="G60" s="129">
        <f t="shared" si="1"/>
        <v>0</v>
      </c>
      <c r="H60" s="168">
        <f t="shared" si="2"/>
        <v>0</v>
      </c>
    </row>
    <row r="61" spans="1:8">
      <c r="A61" s="121" t="s">
        <v>355</v>
      </c>
      <c r="B61" s="121" t="s">
        <v>966</v>
      </c>
      <c r="C61" s="122" t="s">
        <v>356</v>
      </c>
      <c r="D61" s="129">
        <v>28636</v>
      </c>
      <c r="E61" s="129">
        <f t="shared" si="0"/>
        <v>35548.730000000003</v>
      </c>
      <c r="F61" s="129">
        <v>0</v>
      </c>
      <c r="G61" s="129">
        <f t="shared" si="1"/>
        <v>0</v>
      </c>
      <c r="H61" s="168">
        <f t="shared" si="2"/>
        <v>35548.730000000003</v>
      </c>
    </row>
    <row r="62" spans="1:8">
      <c r="A62" s="121" t="s">
        <v>357</v>
      </c>
      <c r="B62" s="121" t="s">
        <v>969</v>
      </c>
      <c r="C62" s="122" t="s">
        <v>358</v>
      </c>
      <c r="D62" s="129">
        <v>76137</v>
      </c>
      <c r="E62" s="129">
        <f t="shared" si="0"/>
        <v>94516.47</v>
      </c>
      <c r="F62" s="129">
        <v>1000</v>
      </c>
      <c r="G62" s="129">
        <f t="shared" si="1"/>
        <v>1226.8</v>
      </c>
      <c r="H62" s="168">
        <f t="shared" si="2"/>
        <v>95743.27</v>
      </c>
    </row>
    <row r="63" spans="1:8">
      <c r="A63" s="121" t="s">
        <v>359</v>
      </c>
      <c r="B63" s="121" t="s">
        <v>968</v>
      </c>
      <c r="C63" s="122" t="s">
        <v>360</v>
      </c>
      <c r="D63" s="129">
        <v>0</v>
      </c>
      <c r="E63" s="129">
        <f t="shared" si="0"/>
        <v>0</v>
      </c>
      <c r="F63" s="129">
        <v>0</v>
      </c>
      <c r="G63" s="129">
        <f t="shared" si="1"/>
        <v>0</v>
      </c>
      <c r="H63" s="168">
        <f t="shared" si="2"/>
        <v>0</v>
      </c>
    </row>
    <row r="64" spans="1:8">
      <c r="A64" s="121" t="s">
        <v>230</v>
      </c>
      <c r="B64" s="121" t="s">
        <v>966</v>
      </c>
      <c r="C64" s="122" t="s">
        <v>1017</v>
      </c>
      <c r="D64" s="129">
        <v>107234</v>
      </c>
      <c r="E64" s="129">
        <f t="shared" si="0"/>
        <v>133120.29</v>
      </c>
      <c r="F64" s="129">
        <v>0</v>
      </c>
      <c r="G64" s="129">
        <f t="shared" si="1"/>
        <v>0</v>
      </c>
      <c r="H64" s="168">
        <f t="shared" si="2"/>
        <v>133120.29</v>
      </c>
    </row>
    <row r="65" spans="1:8">
      <c r="A65" s="121" t="s">
        <v>231</v>
      </c>
      <c r="B65" s="121" t="s">
        <v>971</v>
      </c>
      <c r="C65" s="122" t="s">
        <v>1018</v>
      </c>
      <c r="D65" s="129">
        <v>314971</v>
      </c>
      <c r="E65" s="129">
        <f t="shared" si="0"/>
        <v>391005</v>
      </c>
      <c r="F65" s="129">
        <v>23494</v>
      </c>
      <c r="G65" s="129">
        <f t="shared" si="1"/>
        <v>28822.44</v>
      </c>
      <c r="H65" s="168">
        <f t="shared" si="2"/>
        <v>419827.44</v>
      </c>
    </row>
    <row r="66" spans="1:8">
      <c r="A66" s="121" t="s">
        <v>232</v>
      </c>
      <c r="B66" s="121" t="s">
        <v>973</v>
      </c>
      <c r="C66" s="122" t="s">
        <v>233</v>
      </c>
      <c r="D66" s="129">
        <v>104680</v>
      </c>
      <c r="E66" s="129">
        <f t="shared" si="0"/>
        <v>129949.75</v>
      </c>
      <c r="F66" s="129">
        <v>8816</v>
      </c>
      <c r="G66" s="129">
        <f t="shared" si="1"/>
        <v>10815.47</v>
      </c>
      <c r="H66" s="168">
        <f t="shared" si="2"/>
        <v>140765.22</v>
      </c>
    </row>
    <row r="67" spans="1:8">
      <c r="A67" s="121" t="s">
        <v>234</v>
      </c>
      <c r="B67" s="121" t="s">
        <v>971</v>
      </c>
      <c r="C67" s="122" t="s">
        <v>235</v>
      </c>
      <c r="D67" s="129">
        <v>0</v>
      </c>
      <c r="E67" s="129">
        <f t="shared" ref="E67:E130" si="3">ROUND(D67*1.2414,2)</f>
        <v>0</v>
      </c>
      <c r="F67" s="129">
        <v>0</v>
      </c>
      <c r="G67" s="129">
        <f t="shared" ref="G67:G130" si="4">ROUND(F67*1.2268,2)</f>
        <v>0</v>
      </c>
      <c r="H67" s="168">
        <f t="shared" si="2"/>
        <v>0</v>
      </c>
    </row>
    <row r="68" spans="1:8">
      <c r="A68" s="121" t="s">
        <v>236</v>
      </c>
      <c r="B68" s="121" t="s">
        <v>969</v>
      </c>
      <c r="C68" s="122" t="s">
        <v>237</v>
      </c>
      <c r="D68" s="129">
        <v>61021</v>
      </c>
      <c r="E68" s="129">
        <f t="shared" si="3"/>
        <v>75751.47</v>
      </c>
      <c r="F68" s="129">
        <v>17363</v>
      </c>
      <c r="G68" s="129">
        <f t="shared" si="4"/>
        <v>21300.93</v>
      </c>
      <c r="H68" s="168">
        <f t="shared" ref="H68:H132" si="5">E68+G68</f>
        <v>97052.4</v>
      </c>
    </row>
    <row r="69" spans="1:8">
      <c r="A69" s="121" t="s">
        <v>238</v>
      </c>
      <c r="B69" s="121" t="s">
        <v>967</v>
      </c>
      <c r="C69" s="122" t="s">
        <v>239</v>
      </c>
      <c r="D69" s="129">
        <v>215841</v>
      </c>
      <c r="E69" s="129">
        <f t="shared" si="3"/>
        <v>267945.02</v>
      </c>
      <c r="F69" s="129">
        <v>18681</v>
      </c>
      <c r="G69" s="129">
        <f t="shared" si="4"/>
        <v>22917.85</v>
      </c>
      <c r="H69" s="168">
        <f t="shared" si="5"/>
        <v>290862.87</v>
      </c>
    </row>
    <row r="70" spans="1:8">
      <c r="A70" s="121" t="s">
        <v>240</v>
      </c>
      <c r="B70" s="121" t="s">
        <v>971</v>
      </c>
      <c r="C70" s="122" t="s">
        <v>241</v>
      </c>
      <c r="D70" s="129">
        <v>116379</v>
      </c>
      <c r="E70" s="129">
        <f t="shared" si="3"/>
        <v>144472.89000000001</v>
      </c>
      <c r="F70" s="129">
        <v>0</v>
      </c>
      <c r="G70" s="129">
        <f t="shared" si="4"/>
        <v>0</v>
      </c>
      <c r="H70" s="168">
        <f t="shared" si="5"/>
        <v>144472.89000000001</v>
      </c>
    </row>
    <row r="71" spans="1:8">
      <c r="A71" s="121" t="s">
        <v>409</v>
      </c>
      <c r="B71" s="121" t="s">
        <v>965</v>
      </c>
      <c r="C71" s="122" t="s">
        <v>410</v>
      </c>
      <c r="D71" s="129">
        <v>725</v>
      </c>
      <c r="E71" s="129">
        <f t="shared" si="3"/>
        <v>900.02</v>
      </c>
      <c r="F71" s="129">
        <v>4544</v>
      </c>
      <c r="G71" s="129">
        <f t="shared" si="4"/>
        <v>5574.58</v>
      </c>
      <c r="H71" s="168">
        <f t="shared" si="5"/>
        <v>6474.6</v>
      </c>
    </row>
    <row r="72" spans="1:8">
      <c r="A72" s="121" t="s">
        <v>411</v>
      </c>
      <c r="B72" s="121" t="s">
        <v>966</v>
      </c>
      <c r="C72" s="122" t="s">
        <v>412</v>
      </c>
      <c r="D72" s="129">
        <v>2153</v>
      </c>
      <c r="E72" s="129">
        <f t="shared" si="3"/>
        <v>2672.73</v>
      </c>
      <c r="F72" s="129">
        <v>0</v>
      </c>
      <c r="G72" s="129">
        <f t="shared" si="4"/>
        <v>0</v>
      </c>
      <c r="H72" s="168">
        <f t="shared" si="5"/>
        <v>2672.73</v>
      </c>
    </row>
    <row r="73" spans="1:8">
      <c r="A73" s="121" t="s">
        <v>413</v>
      </c>
      <c r="B73" s="121" t="s">
        <v>973</v>
      </c>
      <c r="C73" s="122" t="s">
        <v>414</v>
      </c>
      <c r="D73" s="129">
        <v>7528</v>
      </c>
      <c r="E73" s="129">
        <f t="shared" si="3"/>
        <v>9345.26</v>
      </c>
      <c r="F73" s="129">
        <v>0</v>
      </c>
      <c r="G73" s="129">
        <f t="shared" si="4"/>
        <v>0</v>
      </c>
      <c r="H73" s="168">
        <f t="shared" si="5"/>
        <v>9345.26</v>
      </c>
    </row>
    <row r="74" spans="1:8">
      <c r="A74" s="121" t="s">
        <v>415</v>
      </c>
      <c r="B74" s="121" t="s">
        <v>969</v>
      </c>
      <c r="C74" s="122" t="s">
        <v>416</v>
      </c>
      <c r="D74" s="129">
        <v>177246</v>
      </c>
      <c r="E74" s="129">
        <f t="shared" si="3"/>
        <v>220033.18</v>
      </c>
      <c r="F74" s="129">
        <v>47848</v>
      </c>
      <c r="G74" s="129">
        <f t="shared" si="4"/>
        <v>58699.93</v>
      </c>
      <c r="H74" s="168">
        <f t="shared" si="5"/>
        <v>278733.11</v>
      </c>
    </row>
    <row r="75" spans="1:8">
      <c r="A75" s="121" t="s">
        <v>417</v>
      </c>
      <c r="B75" s="121" t="s">
        <v>973</v>
      </c>
      <c r="C75" s="122" t="s">
        <v>418</v>
      </c>
      <c r="D75" s="129">
        <v>64964</v>
      </c>
      <c r="E75" s="129">
        <f t="shared" si="3"/>
        <v>80646.31</v>
      </c>
      <c r="F75" s="129">
        <v>0</v>
      </c>
      <c r="G75" s="129">
        <f t="shared" si="4"/>
        <v>0</v>
      </c>
      <c r="H75" s="168">
        <f t="shared" si="5"/>
        <v>80646.31</v>
      </c>
    </row>
    <row r="76" spans="1:8">
      <c r="A76" s="121" t="s">
        <v>941</v>
      </c>
      <c r="B76" s="121">
        <v>112</v>
      </c>
      <c r="C76" s="122" t="s">
        <v>869</v>
      </c>
      <c r="D76" s="129"/>
      <c r="E76" s="129">
        <f t="shared" si="3"/>
        <v>0</v>
      </c>
      <c r="F76" s="129"/>
      <c r="G76" s="129">
        <f t="shared" si="4"/>
        <v>0</v>
      </c>
      <c r="H76" s="168">
        <f t="shared" si="5"/>
        <v>0</v>
      </c>
    </row>
    <row r="77" spans="1:8">
      <c r="A77" s="121" t="s">
        <v>419</v>
      </c>
      <c r="B77" s="121" t="s">
        <v>965</v>
      </c>
      <c r="C77" s="122" t="s">
        <v>512</v>
      </c>
      <c r="D77" s="129">
        <v>0</v>
      </c>
      <c r="E77" s="129">
        <f t="shared" si="3"/>
        <v>0</v>
      </c>
      <c r="F77" s="129">
        <v>0</v>
      </c>
      <c r="G77" s="129">
        <f t="shared" si="4"/>
        <v>0</v>
      </c>
      <c r="H77" s="168">
        <f t="shared" si="5"/>
        <v>0</v>
      </c>
    </row>
    <row r="78" spans="1:8">
      <c r="A78" s="121" t="s">
        <v>513</v>
      </c>
      <c r="B78" s="121" t="s">
        <v>967</v>
      </c>
      <c r="C78" s="122" t="s">
        <v>514</v>
      </c>
      <c r="D78" s="129">
        <v>3940741</v>
      </c>
      <c r="E78" s="129">
        <f t="shared" si="3"/>
        <v>4892035.88</v>
      </c>
      <c r="F78" s="129">
        <v>0</v>
      </c>
      <c r="G78" s="129">
        <f t="shared" si="4"/>
        <v>0</v>
      </c>
      <c r="H78" s="168">
        <f t="shared" si="5"/>
        <v>4892035.88</v>
      </c>
    </row>
    <row r="79" spans="1:8">
      <c r="A79" s="121" t="s">
        <v>515</v>
      </c>
      <c r="B79" s="121" t="s">
        <v>970</v>
      </c>
      <c r="C79" s="122" t="s">
        <v>1019</v>
      </c>
      <c r="D79" s="129">
        <v>1881103</v>
      </c>
      <c r="E79" s="129">
        <f t="shared" si="3"/>
        <v>2335201.2599999998</v>
      </c>
      <c r="F79" s="129">
        <v>0</v>
      </c>
      <c r="G79" s="129">
        <f t="shared" si="4"/>
        <v>0</v>
      </c>
      <c r="H79" s="168">
        <f t="shared" si="5"/>
        <v>2335201.2599999998</v>
      </c>
    </row>
    <row r="80" spans="1:8">
      <c r="A80" s="121" t="s">
        <v>516</v>
      </c>
      <c r="B80" s="121" t="s">
        <v>966</v>
      </c>
      <c r="C80" s="122" t="s">
        <v>1020</v>
      </c>
      <c r="D80" s="129">
        <v>0</v>
      </c>
      <c r="E80" s="129">
        <f t="shared" si="3"/>
        <v>0</v>
      </c>
      <c r="F80" s="129">
        <v>0</v>
      </c>
      <c r="G80" s="129">
        <f t="shared" si="4"/>
        <v>0</v>
      </c>
      <c r="H80" s="168">
        <f t="shared" si="5"/>
        <v>0</v>
      </c>
    </row>
    <row r="81" spans="1:8">
      <c r="A81" s="121" t="s">
        <v>517</v>
      </c>
      <c r="B81" s="121" t="s">
        <v>969</v>
      </c>
      <c r="C81" s="122" t="s">
        <v>518</v>
      </c>
      <c r="D81" s="129">
        <v>3170921</v>
      </c>
      <c r="E81" s="129">
        <f t="shared" si="3"/>
        <v>3936381.33</v>
      </c>
      <c r="F81" s="129">
        <v>138321</v>
      </c>
      <c r="G81" s="129">
        <f t="shared" si="4"/>
        <v>169692.2</v>
      </c>
      <c r="H81" s="168">
        <f t="shared" si="5"/>
        <v>4106073.5300000003</v>
      </c>
    </row>
    <row r="82" spans="1:8">
      <c r="A82" s="121" t="s">
        <v>420</v>
      </c>
      <c r="B82" s="121" t="s">
        <v>967</v>
      </c>
      <c r="C82" s="122" t="s">
        <v>421</v>
      </c>
      <c r="D82" s="129">
        <v>170269</v>
      </c>
      <c r="E82" s="129">
        <f t="shared" si="3"/>
        <v>211371.94</v>
      </c>
      <c r="F82" s="129">
        <v>121311</v>
      </c>
      <c r="G82" s="129">
        <f t="shared" si="4"/>
        <v>148824.32999999999</v>
      </c>
      <c r="H82" s="168">
        <f t="shared" si="5"/>
        <v>360196.27</v>
      </c>
    </row>
    <row r="83" spans="1:8">
      <c r="A83" s="121" t="s">
        <v>422</v>
      </c>
      <c r="B83" s="121" t="s">
        <v>969</v>
      </c>
      <c r="C83" s="122" t="s">
        <v>423</v>
      </c>
      <c r="D83" s="129">
        <v>117002</v>
      </c>
      <c r="E83" s="129">
        <f t="shared" si="3"/>
        <v>145246.28</v>
      </c>
      <c r="F83" s="129">
        <v>0</v>
      </c>
      <c r="G83" s="129">
        <f t="shared" si="4"/>
        <v>0</v>
      </c>
      <c r="H83" s="168">
        <f t="shared" si="5"/>
        <v>145246.28</v>
      </c>
    </row>
    <row r="84" spans="1:8">
      <c r="A84" s="121" t="s">
        <v>424</v>
      </c>
      <c r="B84" s="121" t="s">
        <v>968</v>
      </c>
      <c r="C84" s="122" t="s">
        <v>425</v>
      </c>
      <c r="D84" s="129">
        <v>14549</v>
      </c>
      <c r="E84" s="129">
        <f t="shared" si="3"/>
        <v>18061.13</v>
      </c>
      <c r="F84" s="129">
        <v>0</v>
      </c>
      <c r="G84" s="129">
        <f t="shared" si="4"/>
        <v>0</v>
      </c>
      <c r="H84" s="168">
        <f t="shared" si="5"/>
        <v>18061.13</v>
      </c>
    </row>
    <row r="85" spans="1:8">
      <c r="A85" s="121" t="s">
        <v>426</v>
      </c>
      <c r="B85" s="121" t="s">
        <v>969</v>
      </c>
      <c r="C85" s="122" t="s">
        <v>427</v>
      </c>
      <c r="D85" s="129">
        <v>621143</v>
      </c>
      <c r="E85" s="129">
        <f t="shared" si="3"/>
        <v>771086.92</v>
      </c>
      <c r="F85" s="129">
        <v>0</v>
      </c>
      <c r="G85" s="129">
        <f t="shared" si="4"/>
        <v>0</v>
      </c>
      <c r="H85" s="168">
        <f t="shared" si="5"/>
        <v>771086.92</v>
      </c>
    </row>
    <row r="86" spans="1:8">
      <c r="A86" s="121" t="s">
        <v>428</v>
      </c>
      <c r="B86" s="121" t="s">
        <v>966</v>
      </c>
      <c r="C86" s="122" t="s">
        <v>429</v>
      </c>
      <c r="D86" s="129">
        <v>2500</v>
      </c>
      <c r="E86" s="129">
        <f t="shared" si="3"/>
        <v>3103.5</v>
      </c>
      <c r="F86" s="129">
        <v>0</v>
      </c>
      <c r="G86" s="129">
        <f t="shared" si="4"/>
        <v>0</v>
      </c>
      <c r="H86" s="168">
        <f t="shared" si="5"/>
        <v>3103.5</v>
      </c>
    </row>
    <row r="87" spans="1:8">
      <c r="A87" s="121" t="s">
        <v>430</v>
      </c>
      <c r="B87" s="121" t="s">
        <v>966</v>
      </c>
      <c r="C87" s="122" t="s">
        <v>431</v>
      </c>
      <c r="D87" s="129">
        <v>0</v>
      </c>
      <c r="E87" s="129">
        <f t="shared" si="3"/>
        <v>0</v>
      </c>
      <c r="F87" s="129">
        <v>0</v>
      </c>
      <c r="G87" s="129">
        <f t="shared" si="4"/>
        <v>0</v>
      </c>
      <c r="H87" s="168">
        <f t="shared" si="5"/>
        <v>0</v>
      </c>
    </row>
    <row r="88" spans="1:8">
      <c r="A88" s="121" t="s">
        <v>432</v>
      </c>
      <c r="B88" s="121" t="s">
        <v>970</v>
      </c>
      <c r="C88" s="122" t="s">
        <v>433</v>
      </c>
      <c r="D88" s="129">
        <v>0</v>
      </c>
      <c r="E88" s="129">
        <f t="shared" si="3"/>
        <v>0</v>
      </c>
      <c r="F88" s="129">
        <v>0</v>
      </c>
      <c r="G88" s="129">
        <f t="shared" si="4"/>
        <v>0</v>
      </c>
      <c r="H88" s="168">
        <f t="shared" si="5"/>
        <v>0</v>
      </c>
    </row>
    <row r="89" spans="1:8">
      <c r="A89" s="121" t="s">
        <v>434</v>
      </c>
      <c r="B89" s="121" t="s">
        <v>971</v>
      </c>
      <c r="C89" s="122" t="s">
        <v>435</v>
      </c>
      <c r="D89" s="129">
        <v>0</v>
      </c>
      <c r="E89" s="129">
        <f t="shared" si="3"/>
        <v>0</v>
      </c>
      <c r="F89" s="129">
        <v>0</v>
      </c>
      <c r="G89" s="129">
        <f t="shared" si="4"/>
        <v>0</v>
      </c>
      <c r="H89" s="168">
        <f t="shared" si="5"/>
        <v>0</v>
      </c>
    </row>
    <row r="90" spans="1:8">
      <c r="A90" s="121" t="s">
        <v>436</v>
      </c>
      <c r="B90" s="121" t="s">
        <v>973</v>
      </c>
      <c r="C90" s="122" t="s">
        <v>218</v>
      </c>
      <c r="D90" s="129">
        <v>2822</v>
      </c>
      <c r="E90" s="129">
        <f t="shared" si="3"/>
        <v>3503.23</v>
      </c>
      <c r="F90" s="129">
        <v>2010</v>
      </c>
      <c r="G90" s="129">
        <f t="shared" si="4"/>
        <v>2465.87</v>
      </c>
      <c r="H90" s="168">
        <f t="shared" si="5"/>
        <v>5969.1</v>
      </c>
    </row>
    <row r="91" spans="1:8">
      <c r="A91" s="121" t="s">
        <v>219</v>
      </c>
      <c r="B91" s="121" t="s">
        <v>971</v>
      </c>
      <c r="C91" s="122" t="s">
        <v>220</v>
      </c>
      <c r="D91" s="129">
        <v>131133</v>
      </c>
      <c r="E91" s="129">
        <f t="shared" si="3"/>
        <v>162788.51</v>
      </c>
      <c r="F91" s="129">
        <v>11026</v>
      </c>
      <c r="G91" s="129">
        <f t="shared" si="4"/>
        <v>13526.7</v>
      </c>
      <c r="H91" s="168">
        <f t="shared" si="5"/>
        <v>176315.21000000002</v>
      </c>
    </row>
    <row r="92" spans="1:8">
      <c r="A92" s="121" t="s">
        <v>221</v>
      </c>
      <c r="B92" s="121" t="s">
        <v>971</v>
      </c>
      <c r="C92" s="122" t="s">
        <v>222</v>
      </c>
      <c r="D92" s="129">
        <v>10000</v>
      </c>
      <c r="E92" s="129">
        <f t="shared" si="3"/>
        <v>12414</v>
      </c>
      <c r="F92" s="129">
        <v>0</v>
      </c>
      <c r="G92" s="129">
        <f t="shared" si="4"/>
        <v>0</v>
      </c>
      <c r="H92" s="168">
        <f t="shared" si="5"/>
        <v>12414</v>
      </c>
    </row>
    <row r="93" spans="1:8">
      <c r="A93" s="121" t="s">
        <v>313</v>
      </c>
      <c r="B93" s="121" t="s">
        <v>967</v>
      </c>
      <c r="C93" s="122" t="s">
        <v>438</v>
      </c>
      <c r="D93" s="129">
        <v>180646</v>
      </c>
      <c r="E93" s="129">
        <f t="shared" si="3"/>
        <v>224253.94</v>
      </c>
      <c r="F93" s="129">
        <v>0</v>
      </c>
      <c r="G93" s="129">
        <f t="shared" si="4"/>
        <v>0</v>
      </c>
      <c r="H93" s="168">
        <f t="shared" si="5"/>
        <v>224253.94</v>
      </c>
    </row>
    <row r="94" spans="1:8">
      <c r="A94" s="121" t="s">
        <v>439</v>
      </c>
      <c r="B94" s="121" t="s">
        <v>965</v>
      </c>
      <c r="C94" s="122" t="s">
        <v>440</v>
      </c>
      <c r="D94" s="129">
        <v>1492</v>
      </c>
      <c r="E94" s="129">
        <f t="shared" si="3"/>
        <v>1852.17</v>
      </c>
      <c r="F94" s="129">
        <v>0</v>
      </c>
      <c r="G94" s="129">
        <f t="shared" si="4"/>
        <v>0</v>
      </c>
      <c r="H94" s="168">
        <f t="shared" si="5"/>
        <v>1852.17</v>
      </c>
    </row>
    <row r="95" spans="1:8">
      <c r="A95" s="121" t="s">
        <v>441</v>
      </c>
      <c r="B95" s="121" t="s">
        <v>966</v>
      </c>
      <c r="C95" s="122" t="s">
        <v>442</v>
      </c>
      <c r="D95" s="129">
        <v>0</v>
      </c>
      <c r="E95" s="129">
        <f t="shared" si="3"/>
        <v>0</v>
      </c>
      <c r="F95" s="129">
        <v>0</v>
      </c>
      <c r="G95" s="129">
        <f t="shared" si="4"/>
        <v>0</v>
      </c>
      <c r="H95" s="168">
        <f t="shared" si="5"/>
        <v>0</v>
      </c>
    </row>
    <row r="96" spans="1:8">
      <c r="A96" s="121" t="s">
        <v>443</v>
      </c>
      <c r="B96" s="121" t="s">
        <v>970</v>
      </c>
      <c r="C96" s="122" t="s">
        <v>444</v>
      </c>
      <c r="D96" s="129">
        <v>0</v>
      </c>
      <c r="E96" s="129">
        <f t="shared" si="3"/>
        <v>0</v>
      </c>
      <c r="F96" s="129">
        <v>0</v>
      </c>
      <c r="G96" s="129">
        <f t="shared" si="4"/>
        <v>0</v>
      </c>
      <c r="H96" s="168">
        <f t="shared" si="5"/>
        <v>0</v>
      </c>
    </row>
    <row r="97" spans="1:8">
      <c r="A97" s="121" t="s">
        <v>445</v>
      </c>
      <c r="B97" s="121" t="s">
        <v>965</v>
      </c>
      <c r="C97" s="122" t="s">
        <v>446</v>
      </c>
      <c r="D97" s="129">
        <v>0</v>
      </c>
      <c r="E97" s="129">
        <f t="shared" si="3"/>
        <v>0</v>
      </c>
      <c r="F97" s="129">
        <v>0</v>
      </c>
      <c r="G97" s="129">
        <f t="shared" si="4"/>
        <v>0</v>
      </c>
      <c r="H97" s="168">
        <f t="shared" si="5"/>
        <v>0</v>
      </c>
    </row>
    <row r="98" spans="1:8">
      <c r="A98" s="121" t="s">
        <v>447</v>
      </c>
      <c r="B98" s="121" t="s">
        <v>966</v>
      </c>
      <c r="C98" s="122" t="s">
        <v>448</v>
      </c>
      <c r="D98" s="129">
        <v>0</v>
      </c>
      <c r="E98" s="129">
        <f t="shared" si="3"/>
        <v>0</v>
      </c>
      <c r="F98" s="129">
        <v>0</v>
      </c>
      <c r="G98" s="129">
        <f t="shared" si="4"/>
        <v>0</v>
      </c>
      <c r="H98" s="168">
        <f t="shared" si="5"/>
        <v>0</v>
      </c>
    </row>
    <row r="99" spans="1:8">
      <c r="A99" s="121" t="s">
        <v>449</v>
      </c>
      <c r="B99" s="121" t="s">
        <v>971</v>
      </c>
      <c r="C99" s="122" t="s">
        <v>450</v>
      </c>
      <c r="D99" s="129">
        <v>1032</v>
      </c>
      <c r="E99" s="129">
        <f t="shared" si="3"/>
        <v>1281.1199999999999</v>
      </c>
      <c r="F99" s="129">
        <v>0</v>
      </c>
      <c r="G99" s="129">
        <f t="shared" si="4"/>
        <v>0</v>
      </c>
      <c r="H99" s="168">
        <f t="shared" si="5"/>
        <v>1281.1199999999999</v>
      </c>
    </row>
    <row r="100" spans="1:8">
      <c r="A100" s="121" t="s">
        <v>332</v>
      </c>
      <c r="B100" s="121" t="s">
        <v>969</v>
      </c>
      <c r="C100" s="122" t="s">
        <v>333</v>
      </c>
      <c r="D100" s="129">
        <v>2247354</v>
      </c>
      <c r="E100" s="129">
        <f t="shared" si="3"/>
        <v>2789865.26</v>
      </c>
      <c r="F100" s="129">
        <v>0</v>
      </c>
      <c r="G100" s="129">
        <f t="shared" si="4"/>
        <v>0</v>
      </c>
      <c r="H100" s="168">
        <f t="shared" si="5"/>
        <v>2789865.26</v>
      </c>
    </row>
    <row r="101" spans="1:8">
      <c r="A101" s="121" t="s">
        <v>334</v>
      </c>
      <c r="B101" s="121" t="s">
        <v>970</v>
      </c>
      <c r="C101" s="122" t="s">
        <v>335</v>
      </c>
      <c r="D101" s="129">
        <v>57728</v>
      </c>
      <c r="E101" s="129">
        <f t="shared" si="3"/>
        <v>71663.539999999994</v>
      </c>
      <c r="F101" s="129">
        <v>0</v>
      </c>
      <c r="G101" s="129">
        <f t="shared" si="4"/>
        <v>0</v>
      </c>
      <c r="H101" s="168">
        <f t="shared" si="5"/>
        <v>71663.539999999994</v>
      </c>
    </row>
    <row r="102" spans="1:8">
      <c r="A102" s="121" t="s">
        <v>336</v>
      </c>
      <c r="B102" s="121" t="s">
        <v>965</v>
      </c>
      <c r="C102" s="122" t="s">
        <v>337</v>
      </c>
      <c r="D102" s="129">
        <v>7757</v>
      </c>
      <c r="E102" s="129">
        <f t="shared" si="3"/>
        <v>9629.5400000000009</v>
      </c>
      <c r="F102" s="129">
        <v>0</v>
      </c>
      <c r="G102" s="129">
        <f t="shared" si="4"/>
        <v>0</v>
      </c>
      <c r="H102" s="168">
        <f t="shared" si="5"/>
        <v>9629.5400000000009</v>
      </c>
    </row>
    <row r="103" spans="1:8">
      <c r="A103" s="121" t="s">
        <v>338</v>
      </c>
      <c r="B103" s="121" t="s">
        <v>965</v>
      </c>
      <c r="C103" s="122" t="s">
        <v>339</v>
      </c>
      <c r="D103" s="129">
        <v>61461</v>
      </c>
      <c r="E103" s="129">
        <f t="shared" si="3"/>
        <v>76297.69</v>
      </c>
      <c r="F103" s="129">
        <v>44712</v>
      </c>
      <c r="G103" s="129">
        <f t="shared" si="4"/>
        <v>54852.68</v>
      </c>
      <c r="H103" s="168">
        <f t="shared" si="5"/>
        <v>131150.37</v>
      </c>
    </row>
    <row r="104" spans="1:8">
      <c r="A104" s="121"/>
      <c r="B104" s="121"/>
      <c r="C104" s="122" t="s">
        <v>1583</v>
      </c>
      <c r="D104" s="129">
        <v>0</v>
      </c>
      <c r="E104" s="129">
        <f t="shared" si="3"/>
        <v>0</v>
      </c>
      <c r="F104" s="129">
        <v>0</v>
      </c>
      <c r="G104" s="129">
        <f t="shared" si="4"/>
        <v>0</v>
      </c>
      <c r="H104" s="168"/>
    </row>
    <row r="105" spans="1:8">
      <c r="A105" s="121"/>
      <c r="B105" s="121"/>
      <c r="C105" s="122" t="s">
        <v>1353</v>
      </c>
      <c r="D105" s="129">
        <v>0</v>
      </c>
      <c r="E105" s="129">
        <f t="shared" si="3"/>
        <v>0</v>
      </c>
      <c r="F105" s="129">
        <v>0</v>
      </c>
      <c r="G105" s="129">
        <f t="shared" si="4"/>
        <v>0</v>
      </c>
      <c r="H105" s="168">
        <f t="shared" si="5"/>
        <v>0</v>
      </c>
    </row>
    <row r="106" spans="1:8">
      <c r="A106" s="121"/>
      <c r="B106" s="121"/>
      <c r="C106" s="122" t="s">
        <v>1354</v>
      </c>
      <c r="D106" s="129">
        <v>0</v>
      </c>
      <c r="E106" s="129">
        <f t="shared" si="3"/>
        <v>0</v>
      </c>
      <c r="F106" s="129">
        <v>0</v>
      </c>
      <c r="G106" s="129">
        <f t="shared" si="4"/>
        <v>0</v>
      </c>
      <c r="H106" s="168">
        <f t="shared" si="5"/>
        <v>0</v>
      </c>
    </row>
    <row r="107" spans="1:8">
      <c r="A107" s="121" t="s">
        <v>340</v>
      </c>
      <c r="B107" s="121">
        <v>101</v>
      </c>
      <c r="C107" s="122" t="s">
        <v>341</v>
      </c>
      <c r="D107" s="129">
        <v>0</v>
      </c>
      <c r="E107" s="129">
        <f t="shared" si="3"/>
        <v>0</v>
      </c>
      <c r="F107" s="129">
        <v>0</v>
      </c>
      <c r="G107" s="129">
        <f t="shared" si="4"/>
        <v>0</v>
      </c>
      <c r="H107" s="168">
        <f t="shared" si="5"/>
        <v>0</v>
      </c>
    </row>
    <row r="108" spans="1:8">
      <c r="A108" s="121" t="s">
        <v>342</v>
      </c>
      <c r="B108" s="121">
        <v>189</v>
      </c>
      <c r="C108" s="122" t="s">
        <v>343</v>
      </c>
      <c r="D108" s="129">
        <v>0</v>
      </c>
      <c r="E108" s="129">
        <f t="shared" si="3"/>
        <v>0</v>
      </c>
      <c r="F108" s="129">
        <v>0</v>
      </c>
      <c r="G108" s="129">
        <f t="shared" si="4"/>
        <v>0</v>
      </c>
      <c r="H108" s="168">
        <f t="shared" si="5"/>
        <v>0</v>
      </c>
    </row>
    <row r="109" spans="1:8">
      <c r="A109" s="121"/>
      <c r="B109" s="121"/>
      <c r="C109" s="122" t="s">
        <v>1355</v>
      </c>
      <c r="D109" s="129">
        <v>0</v>
      </c>
      <c r="E109" s="129">
        <f t="shared" si="3"/>
        <v>0</v>
      </c>
      <c r="F109" s="129">
        <v>0</v>
      </c>
      <c r="G109" s="129">
        <f t="shared" si="4"/>
        <v>0</v>
      </c>
      <c r="H109" s="168">
        <f t="shared" si="5"/>
        <v>0</v>
      </c>
    </row>
    <row r="110" spans="1:8">
      <c r="A110" s="121" t="s">
        <v>344</v>
      </c>
      <c r="B110" s="121">
        <v>121</v>
      </c>
      <c r="C110" s="122" t="s">
        <v>345</v>
      </c>
      <c r="D110" s="129">
        <v>1059534</v>
      </c>
      <c r="E110" s="129">
        <f t="shared" si="3"/>
        <v>1315305.51</v>
      </c>
      <c r="F110" s="129">
        <v>4033</v>
      </c>
      <c r="G110" s="129">
        <f t="shared" si="4"/>
        <v>4947.68</v>
      </c>
      <c r="H110" s="168">
        <f t="shared" si="5"/>
        <v>1320253.19</v>
      </c>
    </row>
    <row r="111" spans="1:8">
      <c r="A111" s="121" t="s">
        <v>346</v>
      </c>
      <c r="B111" s="121">
        <v>123</v>
      </c>
      <c r="C111" s="122" t="s">
        <v>347</v>
      </c>
      <c r="D111" s="129">
        <v>0</v>
      </c>
      <c r="E111" s="129">
        <f t="shared" si="3"/>
        <v>0</v>
      </c>
      <c r="F111" s="129">
        <v>0</v>
      </c>
      <c r="G111" s="129">
        <f t="shared" si="4"/>
        <v>0</v>
      </c>
      <c r="H111" s="168">
        <f t="shared" si="5"/>
        <v>0</v>
      </c>
    </row>
    <row r="112" spans="1:8">
      <c r="A112" s="121" t="s">
        <v>452</v>
      </c>
      <c r="B112" s="121">
        <v>112</v>
      </c>
      <c r="C112" s="122" t="s">
        <v>453</v>
      </c>
      <c r="D112" s="129">
        <v>0</v>
      </c>
      <c r="E112" s="129">
        <f t="shared" si="3"/>
        <v>0</v>
      </c>
      <c r="F112" s="129">
        <v>0</v>
      </c>
      <c r="G112" s="129">
        <f t="shared" si="4"/>
        <v>0</v>
      </c>
      <c r="H112" s="168">
        <f t="shared" si="5"/>
        <v>0</v>
      </c>
    </row>
    <row r="113" spans="1:8">
      <c r="A113" s="121" t="s">
        <v>454</v>
      </c>
      <c r="B113" s="121">
        <v>101</v>
      </c>
      <c r="C113" s="122" t="s">
        <v>455</v>
      </c>
      <c r="D113" s="129">
        <v>0</v>
      </c>
      <c r="E113" s="129">
        <f t="shared" si="3"/>
        <v>0</v>
      </c>
      <c r="F113" s="129">
        <v>0</v>
      </c>
      <c r="G113" s="129">
        <f t="shared" si="4"/>
        <v>0</v>
      </c>
      <c r="H113" s="168">
        <f t="shared" si="5"/>
        <v>0</v>
      </c>
    </row>
    <row r="114" spans="1:8">
      <c r="A114" s="121" t="s">
        <v>456</v>
      </c>
      <c r="B114" s="121">
        <v>112</v>
      </c>
      <c r="C114" s="122" t="s">
        <v>457</v>
      </c>
      <c r="D114" s="129">
        <v>0</v>
      </c>
      <c r="E114" s="129">
        <f t="shared" si="3"/>
        <v>0</v>
      </c>
      <c r="F114" s="129">
        <v>0</v>
      </c>
      <c r="G114" s="129">
        <f t="shared" si="4"/>
        <v>0</v>
      </c>
      <c r="H114" s="168">
        <f t="shared" si="5"/>
        <v>0</v>
      </c>
    </row>
    <row r="115" spans="1:8">
      <c r="A115" s="121" t="s">
        <v>458</v>
      </c>
      <c r="B115" s="121">
        <v>123</v>
      </c>
      <c r="C115" s="122" t="s">
        <v>459</v>
      </c>
      <c r="D115" s="129">
        <v>594559</v>
      </c>
      <c r="E115" s="129">
        <f t="shared" si="3"/>
        <v>738085.54</v>
      </c>
      <c r="F115" s="129">
        <v>0</v>
      </c>
      <c r="G115" s="129">
        <f t="shared" si="4"/>
        <v>0</v>
      </c>
      <c r="H115" s="168">
        <f t="shared" si="5"/>
        <v>738085.54</v>
      </c>
    </row>
    <row r="116" spans="1:8">
      <c r="A116" s="121" t="s">
        <v>460</v>
      </c>
      <c r="B116" s="121">
        <v>121</v>
      </c>
      <c r="C116" s="122" t="s">
        <v>478</v>
      </c>
      <c r="D116" s="129">
        <v>3317948</v>
      </c>
      <c r="E116" s="129">
        <f t="shared" si="3"/>
        <v>4118900.65</v>
      </c>
      <c r="F116" s="129">
        <v>0</v>
      </c>
      <c r="G116" s="129">
        <f t="shared" si="4"/>
        <v>0</v>
      </c>
      <c r="H116" s="168">
        <f t="shared" si="5"/>
        <v>4118900.65</v>
      </c>
    </row>
    <row r="117" spans="1:8">
      <c r="A117" s="121" t="s">
        <v>479</v>
      </c>
      <c r="B117" s="121">
        <v>101</v>
      </c>
      <c r="C117" s="122" t="s">
        <v>480</v>
      </c>
      <c r="D117" s="129">
        <v>0</v>
      </c>
      <c r="E117" s="129">
        <f t="shared" si="3"/>
        <v>0</v>
      </c>
      <c r="F117" s="129">
        <v>0</v>
      </c>
      <c r="G117" s="129">
        <f t="shared" si="4"/>
        <v>0</v>
      </c>
      <c r="H117" s="168">
        <f t="shared" si="5"/>
        <v>0</v>
      </c>
    </row>
    <row r="118" spans="1:8">
      <c r="A118" s="121" t="s">
        <v>481</v>
      </c>
      <c r="B118" s="121">
        <v>123</v>
      </c>
      <c r="C118" s="122" t="s">
        <v>1021</v>
      </c>
      <c r="D118" s="129">
        <v>52327</v>
      </c>
      <c r="E118" s="129">
        <f t="shared" si="3"/>
        <v>64958.74</v>
      </c>
      <c r="F118" s="129">
        <v>0</v>
      </c>
      <c r="G118" s="129">
        <f t="shared" si="4"/>
        <v>0</v>
      </c>
      <c r="H118" s="168">
        <f t="shared" si="5"/>
        <v>64958.74</v>
      </c>
    </row>
    <row r="119" spans="1:8">
      <c r="A119" s="121" t="s">
        <v>482</v>
      </c>
      <c r="B119" s="121">
        <v>105</v>
      </c>
      <c r="C119" s="122" t="s">
        <v>292</v>
      </c>
      <c r="D119" s="129">
        <v>0</v>
      </c>
      <c r="E119" s="129">
        <f t="shared" si="3"/>
        <v>0</v>
      </c>
      <c r="F119" s="129">
        <v>0</v>
      </c>
      <c r="G119" s="129">
        <f t="shared" si="4"/>
        <v>0</v>
      </c>
      <c r="H119" s="168">
        <f t="shared" si="5"/>
        <v>0</v>
      </c>
    </row>
    <row r="120" spans="1:8">
      <c r="A120" s="121" t="s">
        <v>293</v>
      </c>
      <c r="B120" s="121">
        <v>112</v>
      </c>
      <c r="C120" s="122" t="s">
        <v>294</v>
      </c>
      <c r="D120" s="129">
        <v>0</v>
      </c>
      <c r="E120" s="129">
        <f t="shared" si="3"/>
        <v>0</v>
      </c>
      <c r="F120" s="129">
        <v>0</v>
      </c>
      <c r="G120" s="129">
        <f t="shared" si="4"/>
        <v>0</v>
      </c>
      <c r="H120" s="168">
        <f t="shared" si="5"/>
        <v>0</v>
      </c>
    </row>
    <row r="121" spans="1:8">
      <c r="A121" s="121" t="s">
        <v>121</v>
      </c>
      <c r="B121" s="121">
        <v>112</v>
      </c>
      <c r="C121" s="122" t="s">
        <v>1022</v>
      </c>
      <c r="D121" s="129">
        <v>59907</v>
      </c>
      <c r="E121" s="129">
        <f t="shared" si="3"/>
        <v>74368.55</v>
      </c>
      <c r="F121" s="129">
        <v>0</v>
      </c>
      <c r="G121" s="129">
        <f t="shared" si="4"/>
        <v>0</v>
      </c>
      <c r="H121" s="168">
        <f t="shared" si="5"/>
        <v>74368.55</v>
      </c>
    </row>
    <row r="122" spans="1:8">
      <c r="A122" s="121" t="s">
        <v>295</v>
      </c>
      <c r="B122" s="121">
        <v>189</v>
      </c>
      <c r="C122" s="122" t="s">
        <v>296</v>
      </c>
      <c r="D122" s="129">
        <v>17189</v>
      </c>
      <c r="E122" s="129">
        <f t="shared" si="3"/>
        <v>21338.42</v>
      </c>
      <c r="F122" s="129">
        <v>8650</v>
      </c>
      <c r="G122" s="129">
        <f t="shared" si="4"/>
        <v>10611.82</v>
      </c>
      <c r="H122" s="168">
        <f t="shared" si="5"/>
        <v>31950.239999999998</v>
      </c>
    </row>
    <row r="123" spans="1:8">
      <c r="A123" s="121" t="s">
        <v>123</v>
      </c>
      <c r="B123" s="121">
        <v>101</v>
      </c>
      <c r="C123" s="122" t="s">
        <v>581</v>
      </c>
      <c r="D123" s="129">
        <v>0</v>
      </c>
      <c r="E123" s="129">
        <f t="shared" si="3"/>
        <v>0</v>
      </c>
      <c r="F123" s="129">
        <v>0</v>
      </c>
      <c r="G123" s="129">
        <f t="shared" si="4"/>
        <v>0</v>
      </c>
      <c r="H123" s="168">
        <f t="shared" si="5"/>
        <v>0</v>
      </c>
    </row>
    <row r="124" spans="1:8">
      <c r="A124" s="121" t="s">
        <v>124</v>
      </c>
      <c r="B124" s="121">
        <v>171</v>
      </c>
      <c r="C124" s="122" t="s">
        <v>125</v>
      </c>
      <c r="D124" s="129">
        <v>86893</v>
      </c>
      <c r="E124" s="129">
        <f t="shared" si="3"/>
        <v>107868.97</v>
      </c>
      <c r="F124" s="129">
        <v>0</v>
      </c>
      <c r="G124" s="129">
        <f t="shared" si="4"/>
        <v>0</v>
      </c>
      <c r="H124" s="168">
        <f t="shared" si="5"/>
        <v>107868.97</v>
      </c>
    </row>
    <row r="125" spans="1:8">
      <c r="A125" s="121" t="s">
        <v>245</v>
      </c>
      <c r="B125" s="121">
        <v>113</v>
      </c>
      <c r="C125" s="122" t="s">
        <v>1023</v>
      </c>
      <c r="D125" s="129">
        <v>0</v>
      </c>
      <c r="E125" s="129">
        <f t="shared" si="3"/>
        <v>0</v>
      </c>
      <c r="F125" s="129">
        <v>0</v>
      </c>
      <c r="G125" s="129">
        <f t="shared" si="4"/>
        <v>0</v>
      </c>
      <c r="H125" s="168">
        <f t="shared" si="5"/>
        <v>0</v>
      </c>
    </row>
    <row r="126" spans="1:8">
      <c r="A126" s="121" t="s">
        <v>126</v>
      </c>
      <c r="B126" s="121">
        <v>189</v>
      </c>
      <c r="C126" s="122" t="s">
        <v>127</v>
      </c>
      <c r="D126" s="129">
        <v>1123440</v>
      </c>
      <c r="E126" s="129">
        <f t="shared" si="3"/>
        <v>1394638.42</v>
      </c>
      <c r="F126" s="129">
        <v>173839</v>
      </c>
      <c r="G126" s="129">
        <f t="shared" si="4"/>
        <v>213265.69</v>
      </c>
      <c r="H126" s="168">
        <f t="shared" si="5"/>
        <v>1607904.1099999999</v>
      </c>
    </row>
    <row r="127" spans="1:8">
      <c r="A127" s="121" t="s">
        <v>128</v>
      </c>
      <c r="B127" s="121">
        <v>121</v>
      </c>
      <c r="C127" s="122" t="s">
        <v>129</v>
      </c>
      <c r="D127" s="129">
        <v>3511051</v>
      </c>
      <c r="E127" s="129">
        <f t="shared" si="3"/>
        <v>4358618.71</v>
      </c>
      <c r="F127" s="129">
        <v>4894</v>
      </c>
      <c r="G127" s="129">
        <f t="shared" si="4"/>
        <v>6003.96</v>
      </c>
      <c r="H127" s="168">
        <f t="shared" si="5"/>
        <v>4364622.67</v>
      </c>
    </row>
    <row r="128" spans="1:8">
      <c r="A128" s="121" t="s">
        <v>130</v>
      </c>
      <c r="B128" s="121">
        <v>189</v>
      </c>
      <c r="C128" s="122" t="s">
        <v>131</v>
      </c>
      <c r="D128" s="129">
        <v>230852</v>
      </c>
      <c r="E128" s="129">
        <f t="shared" si="3"/>
        <v>286579.67</v>
      </c>
      <c r="F128" s="129">
        <v>0</v>
      </c>
      <c r="G128" s="129">
        <f t="shared" si="4"/>
        <v>0</v>
      </c>
      <c r="H128" s="168">
        <f t="shared" si="5"/>
        <v>286579.67</v>
      </c>
    </row>
    <row r="129" spans="1:8">
      <c r="A129" s="121" t="s">
        <v>132</v>
      </c>
      <c r="B129" s="121">
        <v>101</v>
      </c>
      <c r="C129" s="122" t="s">
        <v>461</v>
      </c>
      <c r="D129" s="129">
        <v>0</v>
      </c>
      <c r="E129" s="129">
        <f t="shared" si="3"/>
        <v>0</v>
      </c>
      <c r="F129" s="129">
        <v>0</v>
      </c>
      <c r="G129" s="129">
        <f t="shared" si="4"/>
        <v>0</v>
      </c>
      <c r="H129" s="168">
        <f t="shared" si="5"/>
        <v>0</v>
      </c>
    </row>
    <row r="130" spans="1:8">
      <c r="A130" s="121" t="s">
        <v>462</v>
      </c>
      <c r="B130" s="121" t="s">
        <v>966</v>
      </c>
      <c r="C130" s="122" t="s">
        <v>463</v>
      </c>
      <c r="D130" s="129">
        <v>0</v>
      </c>
      <c r="E130" s="129">
        <f t="shared" si="3"/>
        <v>0</v>
      </c>
      <c r="F130" s="129">
        <v>0</v>
      </c>
      <c r="G130" s="129">
        <f t="shared" si="4"/>
        <v>0</v>
      </c>
      <c r="H130" s="168">
        <f t="shared" si="5"/>
        <v>0</v>
      </c>
    </row>
    <row r="131" spans="1:8">
      <c r="A131" s="121" t="s">
        <v>464</v>
      </c>
      <c r="B131" s="121" t="s">
        <v>966</v>
      </c>
      <c r="C131" s="122" t="s">
        <v>465</v>
      </c>
      <c r="D131" s="129">
        <v>1968</v>
      </c>
      <c r="E131" s="129">
        <f t="shared" ref="E131:E194" si="6">ROUND(D131*1.2414,2)</f>
        <v>2443.08</v>
      </c>
      <c r="F131" s="129">
        <v>1281</v>
      </c>
      <c r="G131" s="129">
        <f t="shared" ref="G131:G194" si="7">ROUND(F131*1.2268,2)</f>
        <v>1571.53</v>
      </c>
      <c r="H131" s="168">
        <f t="shared" si="5"/>
        <v>4014.6099999999997</v>
      </c>
    </row>
    <row r="132" spans="1:8">
      <c r="A132" s="121" t="s">
        <v>466</v>
      </c>
      <c r="B132" s="121">
        <v>112</v>
      </c>
      <c r="C132" s="122" t="s">
        <v>467</v>
      </c>
      <c r="D132" s="129">
        <v>378547</v>
      </c>
      <c r="E132" s="129">
        <f t="shared" si="6"/>
        <v>469928.25</v>
      </c>
      <c r="F132" s="129">
        <v>0</v>
      </c>
      <c r="G132" s="129">
        <f t="shared" si="7"/>
        <v>0</v>
      </c>
      <c r="H132" s="168">
        <f t="shared" si="5"/>
        <v>469928.25</v>
      </c>
    </row>
    <row r="133" spans="1:8">
      <c r="A133" s="121" t="s">
        <v>468</v>
      </c>
      <c r="B133" s="121">
        <v>101</v>
      </c>
      <c r="C133" s="122" t="s">
        <v>469</v>
      </c>
      <c r="D133" s="129">
        <v>9750</v>
      </c>
      <c r="E133" s="129">
        <f t="shared" si="6"/>
        <v>12103.65</v>
      </c>
      <c r="F133" s="129">
        <v>0</v>
      </c>
      <c r="G133" s="129">
        <f t="shared" si="7"/>
        <v>0</v>
      </c>
      <c r="H133" s="168">
        <f t="shared" ref="H133:H198" si="8">E133+G133</f>
        <v>12103.65</v>
      </c>
    </row>
    <row r="134" spans="1:8">
      <c r="A134" s="121" t="s">
        <v>470</v>
      </c>
      <c r="B134" s="121">
        <v>189</v>
      </c>
      <c r="C134" s="122" t="s">
        <v>1024</v>
      </c>
      <c r="D134" s="129">
        <v>8482</v>
      </c>
      <c r="E134" s="129">
        <f t="shared" si="6"/>
        <v>10529.55</v>
      </c>
      <c r="F134" s="129">
        <v>0</v>
      </c>
      <c r="G134" s="129">
        <f t="shared" si="7"/>
        <v>0</v>
      </c>
      <c r="H134" s="168">
        <f t="shared" si="8"/>
        <v>10529.55</v>
      </c>
    </row>
    <row r="135" spans="1:8">
      <c r="A135" s="121"/>
      <c r="B135" s="121"/>
      <c r="C135" s="122" t="s">
        <v>1356</v>
      </c>
      <c r="D135" s="129">
        <v>0</v>
      </c>
      <c r="E135" s="129">
        <f t="shared" si="6"/>
        <v>0</v>
      </c>
      <c r="F135" s="129">
        <v>0</v>
      </c>
      <c r="G135" s="129">
        <f t="shared" si="7"/>
        <v>0</v>
      </c>
      <c r="H135" s="168">
        <f t="shared" si="8"/>
        <v>0</v>
      </c>
    </row>
    <row r="136" spans="1:8">
      <c r="A136" s="121" t="s">
        <v>931</v>
      </c>
      <c r="B136" s="121">
        <v>189</v>
      </c>
      <c r="C136" s="122" t="s">
        <v>1025</v>
      </c>
      <c r="D136" s="129">
        <v>0</v>
      </c>
      <c r="E136" s="129">
        <f t="shared" si="6"/>
        <v>0</v>
      </c>
      <c r="F136" s="129">
        <v>0</v>
      </c>
      <c r="G136" s="129">
        <f t="shared" si="7"/>
        <v>0</v>
      </c>
      <c r="H136" s="168">
        <f t="shared" si="8"/>
        <v>0</v>
      </c>
    </row>
    <row r="137" spans="1:8">
      <c r="A137" s="121" t="s">
        <v>486</v>
      </c>
      <c r="B137" s="121">
        <v>112</v>
      </c>
      <c r="C137" s="122" t="s">
        <v>487</v>
      </c>
      <c r="D137" s="129">
        <v>0</v>
      </c>
      <c r="E137" s="129">
        <f t="shared" si="6"/>
        <v>0</v>
      </c>
      <c r="F137" s="129">
        <v>0</v>
      </c>
      <c r="G137" s="129">
        <f t="shared" si="7"/>
        <v>0</v>
      </c>
      <c r="H137" s="168">
        <f t="shared" si="8"/>
        <v>0</v>
      </c>
    </row>
    <row r="138" spans="1:8">
      <c r="A138" s="121" t="s">
        <v>488</v>
      </c>
      <c r="B138" s="121">
        <v>189</v>
      </c>
      <c r="C138" s="122" t="s">
        <v>489</v>
      </c>
      <c r="D138" s="129">
        <v>151661</v>
      </c>
      <c r="E138" s="129">
        <f t="shared" si="6"/>
        <v>188271.97</v>
      </c>
      <c r="F138" s="129">
        <v>75125</v>
      </c>
      <c r="G138" s="129">
        <f t="shared" si="7"/>
        <v>92163.35</v>
      </c>
      <c r="H138" s="168">
        <f t="shared" si="8"/>
        <v>280435.32</v>
      </c>
    </row>
    <row r="139" spans="1:8">
      <c r="A139" s="121" t="s">
        <v>490</v>
      </c>
      <c r="B139" s="121">
        <v>105</v>
      </c>
      <c r="C139" s="122" t="s">
        <v>491</v>
      </c>
      <c r="D139" s="129">
        <v>0</v>
      </c>
      <c r="E139" s="129">
        <f t="shared" si="6"/>
        <v>0</v>
      </c>
      <c r="F139" s="129">
        <v>0</v>
      </c>
      <c r="G139" s="129">
        <f t="shared" si="7"/>
        <v>0</v>
      </c>
      <c r="H139" s="168">
        <f t="shared" si="8"/>
        <v>0</v>
      </c>
    </row>
    <row r="140" spans="1:8">
      <c r="A140" s="121" t="s">
        <v>492</v>
      </c>
      <c r="B140" s="121">
        <v>171</v>
      </c>
      <c r="C140" s="122" t="s">
        <v>493</v>
      </c>
      <c r="D140" s="129">
        <v>1000</v>
      </c>
      <c r="E140" s="129">
        <f t="shared" si="6"/>
        <v>1241.4000000000001</v>
      </c>
      <c r="F140" s="129">
        <v>0</v>
      </c>
      <c r="G140" s="129">
        <f t="shared" si="7"/>
        <v>0</v>
      </c>
      <c r="H140" s="168">
        <f t="shared" si="8"/>
        <v>1241.4000000000001</v>
      </c>
    </row>
    <row r="141" spans="1:8">
      <c r="A141" s="121" t="s">
        <v>494</v>
      </c>
      <c r="B141" s="121" t="s">
        <v>973</v>
      </c>
      <c r="C141" s="122" t="s">
        <v>495</v>
      </c>
      <c r="D141" s="129">
        <v>24338</v>
      </c>
      <c r="E141" s="129">
        <f t="shared" si="6"/>
        <v>30213.19</v>
      </c>
      <c r="F141" s="129">
        <v>9583</v>
      </c>
      <c r="G141" s="129">
        <f t="shared" si="7"/>
        <v>11756.42</v>
      </c>
      <c r="H141" s="168">
        <f t="shared" si="8"/>
        <v>41969.61</v>
      </c>
    </row>
    <row r="142" spans="1:8">
      <c r="A142" s="121" t="s">
        <v>496</v>
      </c>
      <c r="B142" s="121">
        <v>113</v>
      </c>
      <c r="C142" s="122" t="s">
        <v>576</v>
      </c>
      <c r="D142" s="129">
        <v>5733</v>
      </c>
      <c r="E142" s="129">
        <f t="shared" si="6"/>
        <v>7116.95</v>
      </c>
      <c r="F142" s="129">
        <v>0</v>
      </c>
      <c r="G142" s="129">
        <f t="shared" si="7"/>
        <v>0</v>
      </c>
      <c r="H142" s="168">
        <f t="shared" si="8"/>
        <v>7116.95</v>
      </c>
    </row>
    <row r="143" spans="1:8">
      <c r="A143" s="121" t="s">
        <v>497</v>
      </c>
      <c r="B143" s="121">
        <v>101</v>
      </c>
      <c r="C143" s="122" t="s">
        <v>498</v>
      </c>
      <c r="D143" s="129">
        <v>3258</v>
      </c>
      <c r="E143" s="129">
        <f t="shared" si="6"/>
        <v>4044.48</v>
      </c>
      <c r="F143" s="129">
        <v>0</v>
      </c>
      <c r="G143" s="129">
        <f t="shared" si="7"/>
        <v>0</v>
      </c>
      <c r="H143" s="168">
        <f t="shared" si="8"/>
        <v>4044.48</v>
      </c>
    </row>
    <row r="144" spans="1:8">
      <c r="A144" s="121" t="s">
        <v>499</v>
      </c>
      <c r="B144" s="121">
        <v>189</v>
      </c>
      <c r="C144" s="122" t="s">
        <v>37</v>
      </c>
      <c r="D144" s="129">
        <v>1324174</v>
      </c>
      <c r="E144" s="129">
        <f t="shared" si="6"/>
        <v>1643829.6</v>
      </c>
      <c r="F144" s="129">
        <v>305646</v>
      </c>
      <c r="G144" s="129">
        <f t="shared" si="7"/>
        <v>374966.51</v>
      </c>
      <c r="H144" s="168">
        <f t="shared" si="8"/>
        <v>2018796.11</v>
      </c>
    </row>
    <row r="145" spans="1:8">
      <c r="A145" s="121" t="s">
        <v>38</v>
      </c>
      <c r="B145" s="121">
        <v>113</v>
      </c>
      <c r="C145" s="122" t="s">
        <v>574</v>
      </c>
      <c r="D145" s="129">
        <v>1920</v>
      </c>
      <c r="E145" s="129">
        <f t="shared" si="6"/>
        <v>2383.4899999999998</v>
      </c>
      <c r="F145" s="129">
        <v>0</v>
      </c>
      <c r="G145" s="129">
        <f t="shared" si="7"/>
        <v>0</v>
      </c>
      <c r="H145" s="168">
        <f t="shared" si="8"/>
        <v>2383.4899999999998</v>
      </c>
    </row>
    <row r="146" spans="1:8">
      <c r="A146" s="121" t="s">
        <v>39</v>
      </c>
      <c r="B146" s="121">
        <v>101</v>
      </c>
      <c r="C146" s="122" t="s">
        <v>40</v>
      </c>
      <c r="D146" s="129">
        <v>677437</v>
      </c>
      <c r="E146" s="129">
        <f t="shared" si="6"/>
        <v>840970.29</v>
      </c>
      <c r="F146" s="129">
        <v>1500</v>
      </c>
      <c r="G146" s="129">
        <f t="shared" si="7"/>
        <v>1840.2</v>
      </c>
      <c r="H146" s="168">
        <f t="shared" si="8"/>
        <v>842810.49</v>
      </c>
    </row>
    <row r="147" spans="1:8">
      <c r="A147" s="121" t="s">
        <v>41</v>
      </c>
      <c r="B147" s="121" t="s">
        <v>966</v>
      </c>
      <c r="C147" s="122" t="s">
        <v>42</v>
      </c>
      <c r="D147" s="129">
        <v>70734</v>
      </c>
      <c r="E147" s="129">
        <f t="shared" si="6"/>
        <v>87809.19</v>
      </c>
      <c r="F147" s="129">
        <v>0</v>
      </c>
      <c r="G147" s="129">
        <f t="shared" si="7"/>
        <v>0</v>
      </c>
      <c r="H147" s="168">
        <f t="shared" si="8"/>
        <v>87809.19</v>
      </c>
    </row>
    <row r="148" spans="1:8">
      <c r="A148" s="121" t="s">
        <v>43</v>
      </c>
      <c r="B148" s="121">
        <v>121</v>
      </c>
      <c r="C148" s="122" t="s">
        <v>44</v>
      </c>
      <c r="D148" s="129">
        <v>336091</v>
      </c>
      <c r="E148" s="129">
        <f t="shared" si="6"/>
        <v>417223.37</v>
      </c>
      <c r="F148" s="129">
        <v>137998</v>
      </c>
      <c r="G148" s="129">
        <f t="shared" si="7"/>
        <v>169295.95</v>
      </c>
      <c r="H148" s="168">
        <f t="shared" si="8"/>
        <v>586519.32000000007</v>
      </c>
    </row>
    <row r="149" spans="1:8">
      <c r="A149" s="121" t="s">
        <v>45</v>
      </c>
      <c r="B149" s="121">
        <v>189</v>
      </c>
      <c r="C149" s="122" t="s">
        <v>46</v>
      </c>
      <c r="D149" s="129">
        <v>89168</v>
      </c>
      <c r="E149" s="129">
        <f t="shared" si="6"/>
        <v>110693.16</v>
      </c>
      <c r="F149" s="129">
        <v>35903</v>
      </c>
      <c r="G149" s="129">
        <f t="shared" si="7"/>
        <v>44045.8</v>
      </c>
      <c r="H149" s="168">
        <f t="shared" si="8"/>
        <v>154738.96000000002</v>
      </c>
    </row>
    <row r="150" spans="1:8">
      <c r="A150" s="121" t="s">
        <v>47</v>
      </c>
      <c r="B150" s="121">
        <v>171</v>
      </c>
      <c r="C150" s="122" t="s">
        <v>68</v>
      </c>
      <c r="D150" s="129">
        <v>375</v>
      </c>
      <c r="E150" s="129">
        <f t="shared" si="6"/>
        <v>465.53</v>
      </c>
      <c r="F150" s="129">
        <v>0</v>
      </c>
      <c r="G150" s="129">
        <f t="shared" si="7"/>
        <v>0</v>
      </c>
      <c r="H150" s="168">
        <f t="shared" si="8"/>
        <v>465.53</v>
      </c>
    </row>
    <row r="151" spans="1:8">
      <c r="A151" s="121" t="s">
        <v>69</v>
      </c>
      <c r="B151" s="121">
        <v>112</v>
      </c>
      <c r="C151" s="122" t="s">
        <v>70</v>
      </c>
      <c r="D151" s="129">
        <v>0</v>
      </c>
      <c r="E151" s="129">
        <f t="shared" si="6"/>
        <v>0</v>
      </c>
      <c r="F151" s="129">
        <v>0</v>
      </c>
      <c r="G151" s="129">
        <f t="shared" si="7"/>
        <v>0</v>
      </c>
      <c r="H151" s="168">
        <f t="shared" si="8"/>
        <v>0</v>
      </c>
    </row>
    <row r="152" spans="1:8">
      <c r="A152" s="121" t="s">
        <v>71</v>
      </c>
      <c r="B152" s="121">
        <v>189</v>
      </c>
      <c r="C152" s="122" t="s">
        <v>72</v>
      </c>
      <c r="D152" s="129">
        <v>148466</v>
      </c>
      <c r="E152" s="129">
        <f t="shared" si="6"/>
        <v>184305.69</v>
      </c>
      <c r="F152" s="129">
        <v>125542</v>
      </c>
      <c r="G152" s="129">
        <f t="shared" si="7"/>
        <v>154014.93</v>
      </c>
      <c r="H152" s="168">
        <f t="shared" si="8"/>
        <v>338320.62</v>
      </c>
    </row>
    <row r="153" spans="1:8">
      <c r="A153" s="121" t="s">
        <v>73</v>
      </c>
      <c r="B153" s="121">
        <v>113</v>
      </c>
      <c r="C153" s="122" t="s">
        <v>74</v>
      </c>
      <c r="D153" s="129">
        <v>11292</v>
      </c>
      <c r="E153" s="129">
        <f t="shared" si="6"/>
        <v>14017.89</v>
      </c>
      <c r="F153" s="129">
        <v>0</v>
      </c>
      <c r="G153" s="129">
        <f t="shared" si="7"/>
        <v>0</v>
      </c>
      <c r="H153" s="168">
        <f t="shared" si="8"/>
        <v>14017.89</v>
      </c>
    </row>
    <row r="154" spans="1:8">
      <c r="A154" s="121" t="s">
        <v>75</v>
      </c>
      <c r="B154" s="121" t="s">
        <v>965</v>
      </c>
      <c r="C154" s="122" t="s">
        <v>204</v>
      </c>
      <c r="D154" s="129">
        <v>5886</v>
      </c>
      <c r="E154" s="129">
        <f t="shared" si="6"/>
        <v>7306.88</v>
      </c>
      <c r="F154" s="129">
        <v>0</v>
      </c>
      <c r="G154" s="129">
        <f t="shared" si="7"/>
        <v>0</v>
      </c>
      <c r="H154" s="168">
        <f t="shared" si="8"/>
        <v>7306.88</v>
      </c>
    </row>
    <row r="155" spans="1:8">
      <c r="A155" s="121" t="s">
        <v>205</v>
      </c>
      <c r="B155" s="121">
        <v>171</v>
      </c>
      <c r="C155" s="122" t="s">
        <v>206</v>
      </c>
      <c r="D155" s="129">
        <v>500157</v>
      </c>
      <c r="E155" s="129">
        <f t="shared" si="6"/>
        <v>620894.9</v>
      </c>
      <c r="F155" s="129">
        <v>0</v>
      </c>
      <c r="G155" s="129">
        <f t="shared" si="7"/>
        <v>0</v>
      </c>
      <c r="H155" s="168">
        <f t="shared" si="8"/>
        <v>620894.9</v>
      </c>
    </row>
    <row r="156" spans="1:8">
      <c r="A156" s="121" t="s">
        <v>207</v>
      </c>
      <c r="B156" s="121">
        <v>113</v>
      </c>
      <c r="C156" s="122" t="s">
        <v>208</v>
      </c>
      <c r="D156" s="129">
        <v>1017</v>
      </c>
      <c r="E156" s="129">
        <f t="shared" si="6"/>
        <v>1262.5</v>
      </c>
      <c r="F156" s="129">
        <v>0</v>
      </c>
      <c r="G156" s="129">
        <f t="shared" si="7"/>
        <v>0</v>
      </c>
      <c r="H156" s="168">
        <f t="shared" si="8"/>
        <v>1262.5</v>
      </c>
    </row>
    <row r="157" spans="1:8">
      <c r="A157" s="121" t="s">
        <v>209</v>
      </c>
      <c r="B157" s="121">
        <v>105</v>
      </c>
      <c r="C157" s="122" t="s">
        <v>210</v>
      </c>
      <c r="D157" s="129">
        <v>1115</v>
      </c>
      <c r="E157" s="129">
        <f t="shared" si="6"/>
        <v>1384.16</v>
      </c>
      <c r="F157" s="129">
        <v>0</v>
      </c>
      <c r="G157" s="129">
        <f t="shared" si="7"/>
        <v>0</v>
      </c>
      <c r="H157" s="168">
        <f t="shared" si="8"/>
        <v>1384.16</v>
      </c>
    </row>
    <row r="158" spans="1:8">
      <c r="A158" s="121" t="s">
        <v>211</v>
      </c>
      <c r="B158" s="121">
        <v>189</v>
      </c>
      <c r="C158" s="122" t="s">
        <v>212</v>
      </c>
      <c r="D158" s="129">
        <v>56179</v>
      </c>
      <c r="E158" s="129">
        <f t="shared" si="6"/>
        <v>69740.61</v>
      </c>
      <c r="F158" s="129">
        <v>58015</v>
      </c>
      <c r="G158" s="129">
        <f t="shared" si="7"/>
        <v>71172.800000000003</v>
      </c>
      <c r="H158" s="168">
        <f t="shared" si="8"/>
        <v>140913.41</v>
      </c>
    </row>
    <row r="159" spans="1:8">
      <c r="A159" s="121" t="s">
        <v>87</v>
      </c>
      <c r="B159" s="121">
        <v>112</v>
      </c>
      <c r="C159" s="122" t="s">
        <v>88</v>
      </c>
      <c r="D159" s="129">
        <v>0</v>
      </c>
      <c r="E159" s="129">
        <f t="shared" si="6"/>
        <v>0</v>
      </c>
      <c r="F159" s="129">
        <v>0</v>
      </c>
      <c r="G159" s="129">
        <f t="shared" si="7"/>
        <v>0</v>
      </c>
      <c r="H159" s="168">
        <f t="shared" si="8"/>
        <v>0</v>
      </c>
    </row>
    <row r="160" spans="1:8">
      <c r="A160" s="121" t="s">
        <v>89</v>
      </c>
      <c r="B160" s="121">
        <v>189</v>
      </c>
      <c r="C160" s="122" t="s">
        <v>580</v>
      </c>
      <c r="D160" s="129">
        <v>188837</v>
      </c>
      <c r="E160" s="129">
        <f t="shared" si="6"/>
        <v>234422.25</v>
      </c>
      <c r="F160" s="129">
        <v>194303</v>
      </c>
      <c r="G160" s="129">
        <f t="shared" si="7"/>
        <v>238370.92</v>
      </c>
      <c r="H160" s="168">
        <f t="shared" si="8"/>
        <v>472793.17000000004</v>
      </c>
    </row>
    <row r="161" spans="1:8">
      <c r="A161" s="121"/>
      <c r="B161" s="121"/>
      <c r="C161" s="122" t="s">
        <v>1357</v>
      </c>
      <c r="D161" s="129">
        <v>0</v>
      </c>
      <c r="E161" s="129">
        <f t="shared" si="6"/>
        <v>0</v>
      </c>
      <c r="F161" s="129">
        <v>0</v>
      </c>
      <c r="G161" s="129">
        <f t="shared" si="7"/>
        <v>0</v>
      </c>
      <c r="H161" s="168">
        <f t="shared" si="8"/>
        <v>0</v>
      </c>
    </row>
    <row r="162" spans="1:8">
      <c r="A162" s="121" t="s">
        <v>90</v>
      </c>
      <c r="B162" s="121" t="s">
        <v>967</v>
      </c>
      <c r="C162" s="122" t="s">
        <v>91</v>
      </c>
      <c r="D162" s="129">
        <v>2017916</v>
      </c>
      <c r="E162" s="129">
        <f t="shared" si="6"/>
        <v>2505040.92</v>
      </c>
      <c r="F162" s="129">
        <v>0</v>
      </c>
      <c r="G162" s="129">
        <f t="shared" si="7"/>
        <v>0</v>
      </c>
      <c r="H162" s="168">
        <f t="shared" si="8"/>
        <v>2505040.92</v>
      </c>
    </row>
    <row r="163" spans="1:8">
      <c r="A163" s="121" t="s">
        <v>92</v>
      </c>
      <c r="B163" s="121">
        <v>105</v>
      </c>
      <c r="C163" s="122" t="s">
        <v>93</v>
      </c>
      <c r="D163" s="129">
        <v>66319</v>
      </c>
      <c r="E163" s="129">
        <f t="shared" si="6"/>
        <v>82328.41</v>
      </c>
      <c r="F163" s="129">
        <v>0</v>
      </c>
      <c r="G163" s="129">
        <f t="shared" si="7"/>
        <v>0</v>
      </c>
      <c r="H163" s="168">
        <f t="shared" si="8"/>
        <v>82328.41</v>
      </c>
    </row>
    <row r="164" spans="1:8">
      <c r="A164" s="121" t="s">
        <v>94</v>
      </c>
      <c r="B164" s="121">
        <v>113</v>
      </c>
      <c r="C164" s="122" t="s">
        <v>95</v>
      </c>
      <c r="D164" s="129">
        <v>6510</v>
      </c>
      <c r="E164" s="129">
        <f t="shared" si="6"/>
        <v>8081.51</v>
      </c>
      <c r="F164" s="129">
        <v>0</v>
      </c>
      <c r="G164" s="129">
        <f t="shared" si="7"/>
        <v>0</v>
      </c>
      <c r="H164" s="168">
        <f t="shared" si="8"/>
        <v>8081.51</v>
      </c>
    </row>
    <row r="165" spans="1:8">
      <c r="A165" s="121" t="s">
        <v>96</v>
      </c>
      <c r="B165" s="121">
        <v>112</v>
      </c>
      <c r="C165" s="122" t="s">
        <v>1026</v>
      </c>
      <c r="D165" s="129">
        <v>0</v>
      </c>
      <c r="E165" s="129">
        <f t="shared" si="6"/>
        <v>0</v>
      </c>
      <c r="F165" s="129">
        <v>0</v>
      </c>
      <c r="G165" s="129">
        <f t="shared" si="7"/>
        <v>0</v>
      </c>
      <c r="H165" s="168">
        <f t="shared" si="8"/>
        <v>0</v>
      </c>
    </row>
    <row r="166" spans="1:8">
      <c r="A166" s="121" t="s">
        <v>97</v>
      </c>
      <c r="B166" s="121">
        <v>171</v>
      </c>
      <c r="C166" s="122" t="s">
        <v>98</v>
      </c>
      <c r="D166" s="129">
        <v>6620</v>
      </c>
      <c r="E166" s="129">
        <f t="shared" si="6"/>
        <v>8218.07</v>
      </c>
      <c r="F166" s="129">
        <v>0</v>
      </c>
      <c r="G166" s="129">
        <f t="shared" si="7"/>
        <v>0</v>
      </c>
      <c r="H166" s="168">
        <f t="shared" si="8"/>
        <v>8218.07</v>
      </c>
    </row>
    <row r="167" spans="1:8">
      <c r="A167" s="121" t="s">
        <v>99</v>
      </c>
      <c r="B167" s="121">
        <v>101</v>
      </c>
      <c r="C167" s="122" t="s">
        <v>100</v>
      </c>
      <c r="D167" s="129">
        <v>22276</v>
      </c>
      <c r="E167" s="129">
        <f t="shared" si="6"/>
        <v>27653.43</v>
      </c>
      <c r="F167" s="129">
        <v>0</v>
      </c>
      <c r="G167" s="129">
        <f t="shared" si="7"/>
        <v>0</v>
      </c>
      <c r="H167" s="168">
        <f t="shared" si="8"/>
        <v>27653.43</v>
      </c>
    </row>
    <row r="168" spans="1:8">
      <c r="A168" s="121" t="s">
        <v>101</v>
      </c>
      <c r="B168" s="121">
        <v>101</v>
      </c>
      <c r="C168" s="122" t="s">
        <v>102</v>
      </c>
      <c r="D168" s="129">
        <v>7500</v>
      </c>
      <c r="E168" s="129">
        <f t="shared" si="6"/>
        <v>9310.5</v>
      </c>
      <c r="F168" s="129">
        <v>0</v>
      </c>
      <c r="G168" s="129">
        <f t="shared" si="7"/>
        <v>0</v>
      </c>
      <c r="H168" s="168">
        <f t="shared" si="8"/>
        <v>9310.5</v>
      </c>
    </row>
    <row r="169" spans="1:8">
      <c r="A169" s="121" t="s">
        <v>103</v>
      </c>
      <c r="B169" s="121">
        <v>189</v>
      </c>
      <c r="C169" s="122" t="s">
        <v>213</v>
      </c>
      <c r="D169" s="129">
        <v>0</v>
      </c>
      <c r="E169" s="129">
        <f t="shared" si="6"/>
        <v>0</v>
      </c>
      <c r="F169" s="129">
        <v>0</v>
      </c>
      <c r="G169" s="129">
        <f t="shared" si="7"/>
        <v>0</v>
      </c>
      <c r="H169" s="168">
        <f t="shared" si="8"/>
        <v>0</v>
      </c>
    </row>
    <row r="170" spans="1:8">
      <c r="A170" s="121" t="s">
        <v>214</v>
      </c>
      <c r="B170" s="121">
        <v>113</v>
      </c>
      <c r="C170" s="122" t="s">
        <v>215</v>
      </c>
      <c r="D170" s="129">
        <v>2000</v>
      </c>
      <c r="E170" s="129">
        <f t="shared" si="6"/>
        <v>2482.8000000000002</v>
      </c>
      <c r="F170" s="129">
        <v>0</v>
      </c>
      <c r="G170" s="129">
        <f t="shared" si="7"/>
        <v>0</v>
      </c>
      <c r="H170" s="168">
        <f t="shared" si="8"/>
        <v>2482.8000000000002</v>
      </c>
    </row>
    <row r="171" spans="1:8">
      <c r="A171" s="121" t="s">
        <v>216</v>
      </c>
      <c r="B171" s="121">
        <v>123</v>
      </c>
      <c r="C171" s="122" t="s">
        <v>217</v>
      </c>
      <c r="D171" s="129">
        <v>27867</v>
      </c>
      <c r="E171" s="129">
        <f t="shared" si="6"/>
        <v>34594.089999999997</v>
      </c>
      <c r="F171" s="129">
        <v>0</v>
      </c>
      <c r="G171" s="129">
        <f t="shared" si="7"/>
        <v>0</v>
      </c>
      <c r="H171" s="168">
        <f t="shared" si="8"/>
        <v>34594.089999999997</v>
      </c>
    </row>
    <row r="172" spans="1:8">
      <c r="A172" s="121" t="s">
        <v>48</v>
      </c>
      <c r="B172" s="121">
        <v>114</v>
      </c>
      <c r="C172" s="122" t="s">
        <v>49</v>
      </c>
      <c r="D172" s="129">
        <v>740188</v>
      </c>
      <c r="E172" s="129">
        <f t="shared" si="6"/>
        <v>918869.38</v>
      </c>
      <c r="F172" s="129">
        <v>14107</v>
      </c>
      <c r="G172" s="129">
        <f t="shared" si="7"/>
        <v>17306.47</v>
      </c>
      <c r="H172" s="168">
        <f t="shared" si="8"/>
        <v>936175.85</v>
      </c>
    </row>
    <row r="173" spans="1:8">
      <c r="A173" s="121" t="s">
        <v>50</v>
      </c>
      <c r="B173" s="121" t="s">
        <v>972</v>
      </c>
      <c r="C173" s="122" t="s">
        <v>315</v>
      </c>
      <c r="D173" s="129">
        <v>13337</v>
      </c>
      <c r="E173" s="129">
        <f t="shared" si="6"/>
        <v>16556.55</v>
      </c>
      <c r="F173" s="129">
        <v>3949</v>
      </c>
      <c r="G173" s="129">
        <f t="shared" si="7"/>
        <v>4844.63</v>
      </c>
      <c r="H173" s="168">
        <f t="shared" si="8"/>
        <v>21401.18</v>
      </c>
    </row>
    <row r="174" spans="1:8">
      <c r="A174" s="121" t="s">
        <v>316</v>
      </c>
      <c r="B174" s="121">
        <v>113</v>
      </c>
      <c r="C174" s="122" t="s">
        <v>317</v>
      </c>
      <c r="D174" s="129">
        <v>0</v>
      </c>
      <c r="E174" s="129">
        <f t="shared" si="6"/>
        <v>0</v>
      </c>
      <c r="F174" s="129">
        <v>0</v>
      </c>
      <c r="G174" s="129">
        <f t="shared" si="7"/>
        <v>0</v>
      </c>
      <c r="H174" s="168">
        <f t="shared" si="8"/>
        <v>0</v>
      </c>
    </row>
    <row r="175" spans="1:8">
      <c r="A175" s="121" t="s">
        <v>318</v>
      </c>
      <c r="B175" s="121" t="s">
        <v>965</v>
      </c>
      <c r="C175" s="122" t="s">
        <v>319</v>
      </c>
      <c r="D175" s="129">
        <v>1093970</v>
      </c>
      <c r="E175" s="129">
        <f t="shared" si="6"/>
        <v>1358054.36</v>
      </c>
      <c r="F175" s="129">
        <v>0</v>
      </c>
      <c r="G175" s="129">
        <f t="shared" si="7"/>
        <v>0</v>
      </c>
      <c r="H175" s="168">
        <f t="shared" si="8"/>
        <v>1358054.36</v>
      </c>
    </row>
    <row r="176" spans="1:8">
      <c r="A176" s="121" t="s">
        <v>320</v>
      </c>
      <c r="B176" s="121">
        <v>101</v>
      </c>
      <c r="C176" s="122" t="s">
        <v>321</v>
      </c>
      <c r="D176" s="129">
        <v>4390</v>
      </c>
      <c r="E176" s="129">
        <f t="shared" si="6"/>
        <v>5449.75</v>
      </c>
      <c r="F176" s="129">
        <v>0</v>
      </c>
      <c r="G176" s="129">
        <f t="shared" si="7"/>
        <v>0</v>
      </c>
      <c r="H176" s="168">
        <f t="shared" si="8"/>
        <v>5449.75</v>
      </c>
    </row>
    <row r="177" spans="1:8">
      <c r="A177" s="121" t="s">
        <v>322</v>
      </c>
      <c r="B177" s="121">
        <v>121</v>
      </c>
      <c r="C177" s="122" t="s">
        <v>323</v>
      </c>
      <c r="D177" s="129">
        <v>4620000</v>
      </c>
      <c r="E177" s="129">
        <f t="shared" si="6"/>
        <v>5735268</v>
      </c>
      <c r="F177" s="129">
        <v>408071</v>
      </c>
      <c r="G177" s="129">
        <f t="shared" si="7"/>
        <v>500621.5</v>
      </c>
      <c r="H177" s="168">
        <f t="shared" si="8"/>
        <v>6235889.5</v>
      </c>
    </row>
    <row r="178" spans="1:8">
      <c r="A178" s="121" t="s">
        <v>324</v>
      </c>
      <c r="B178" s="121">
        <v>189</v>
      </c>
      <c r="C178" s="122" t="s">
        <v>325</v>
      </c>
      <c r="D178" s="129">
        <v>222714</v>
      </c>
      <c r="E178" s="129">
        <f t="shared" si="6"/>
        <v>276477.15999999997</v>
      </c>
      <c r="F178" s="129">
        <v>148254</v>
      </c>
      <c r="G178" s="129">
        <f t="shared" si="7"/>
        <v>181878.01</v>
      </c>
      <c r="H178" s="168">
        <f t="shared" si="8"/>
        <v>458355.17</v>
      </c>
    </row>
    <row r="179" spans="1:8">
      <c r="A179" s="121" t="s">
        <v>326</v>
      </c>
      <c r="B179" s="121">
        <v>101</v>
      </c>
      <c r="C179" s="122" t="s">
        <v>327</v>
      </c>
      <c r="D179" s="129">
        <v>0</v>
      </c>
      <c r="E179" s="129">
        <f t="shared" si="6"/>
        <v>0</v>
      </c>
      <c r="F179" s="129">
        <v>0</v>
      </c>
      <c r="G179" s="129">
        <f t="shared" si="7"/>
        <v>0</v>
      </c>
      <c r="H179" s="168">
        <f t="shared" si="8"/>
        <v>0</v>
      </c>
    </row>
    <row r="180" spans="1:8">
      <c r="A180" s="121" t="s">
        <v>328</v>
      </c>
      <c r="B180" s="121">
        <v>113</v>
      </c>
      <c r="C180" s="122" t="s">
        <v>329</v>
      </c>
      <c r="D180" s="129">
        <v>0</v>
      </c>
      <c r="E180" s="129">
        <f t="shared" si="6"/>
        <v>0</v>
      </c>
      <c r="F180" s="129">
        <v>0</v>
      </c>
      <c r="G180" s="129">
        <f t="shared" si="7"/>
        <v>0</v>
      </c>
      <c r="H180" s="168">
        <f t="shared" si="8"/>
        <v>0</v>
      </c>
    </row>
    <row r="181" spans="1:8">
      <c r="A181" s="121" t="s">
        <v>330</v>
      </c>
      <c r="B181" s="121">
        <v>112</v>
      </c>
      <c r="C181" s="122" t="s">
        <v>331</v>
      </c>
      <c r="D181" s="129">
        <v>0</v>
      </c>
      <c r="E181" s="129">
        <f t="shared" si="6"/>
        <v>0</v>
      </c>
      <c r="F181" s="129">
        <v>0</v>
      </c>
      <c r="G181" s="129">
        <f t="shared" si="7"/>
        <v>0</v>
      </c>
      <c r="H181" s="168">
        <f t="shared" si="8"/>
        <v>0</v>
      </c>
    </row>
    <row r="182" spans="1:8">
      <c r="A182" s="121" t="s">
        <v>104</v>
      </c>
      <c r="B182" s="121">
        <v>113</v>
      </c>
      <c r="C182" s="122" t="s">
        <v>105</v>
      </c>
      <c r="D182" s="129">
        <v>3000</v>
      </c>
      <c r="E182" s="129">
        <f t="shared" si="6"/>
        <v>3724.2</v>
      </c>
      <c r="F182" s="129">
        <v>0</v>
      </c>
      <c r="G182" s="129">
        <f t="shared" si="7"/>
        <v>0</v>
      </c>
      <c r="H182" s="168">
        <f t="shared" si="8"/>
        <v>3724.2</v>
      </c>
    </row>
    <row r="183" spans="1:8">
      <c r="A183" s="121" t="s">
        <v>106</v>
      </c>
      <c r="B183" s="121">
        <v>101</v>
      </c>
      <c r="C183" s="122" t="s">
        <v>107</v>
      </c>
      <c r="D183" s="129">
        <v>1642</v>
      </c>
      <c r="E183" s="129">
        <f t="shared" si="6"/>
        <v>2038.38</v>
      </c>
      <c r="F183" s="129">
        <v>0</v>
      </c>
      <c r="G183" s="129">
        <f t="shared" si="7"/>
        <v>0</v>
      </c>
      <c r="H183" s="168">
        <f t="shared" si="8"/>
        <v>2038.38</v>
      </c>
    </row>
    <row r="184" spans="1:8">
      <c r="A184" s="121" t="s">
        <v>108</v>
      </c>
      <c r="B184" s="121">
        <v>171</v>
      </c>
      <c r="C184" s="122" t="s">
        <v>109</v>
      </c>
      <c r="D184" s="129">
        <v>85688</v>
      </c>
      <c r="E184" s="129">
        <f t="shared" si="6"/>
        <v>106373.08</v>
      </c>
      <c r="F184" s="129">
        <v>0</v>
      </c>
      <c r="G184" s="129">
        <f t="shared" si="7"/>
        <v>0</v>
      </c>
      <c r="H184" s="168">
        <f t="shared" si="8"/>
        <v>106373.08</v>
      </c>
    </row>
    <row r="185" spans="1:8">
      <c r="A185" s="121" t="s">
        <v>110</v>
      </c>
      <c r="B185" s="121">
        <v>113</v>
      </c>
      <c r="C185" s="122" t="s">
        <v>111</v>
      </c>
      <c r="D185" s="129">
        <v>173399</v>
      </c>
      <c r="E185" s="129">
        <f t="shared" si="6"/>
        <v>215257.52</v>
      </c>
      <c r="F185" s="129">
        <v>2700</v>
      </c>
      <c r="G185" s="129">
        <f t="shared" si="7"/>
        <v>3312.36</v>
      </c>
      <c r="H185" s="168">
        <f t="shared" si="8"/>
        <v>218569.87999999998</v>
      </c>
    </row>
    <row r="186" spans="1:8">
      <c r="A186" s="121" t="s">
        <v>112</v>
      </c>
      <c r="B186" s="121">
        <v>171</v>
      </c>
      <c r="C186" s="122" t="s">
        <v>734</v>
      </c>
      <c r="D186" s="129">
        <v>98388</v>
      </c>
      <c r="E186" s="129">
        <f t="shared" si="6"/>
        <v>122138.86</v>
      </c>
      <c r="F186" s="129">
        <v>327</v>
      </c>
      <c r="G186" s="129">
        <f t="shared" si="7"/>
        <v>401.16</v>
      </c>
      <c r="H186" s="168">
        <f t="shared" si="8"/>
        <v>122540.02</v>
      </c>
    </row>
    <row r="187" spans="1:8">
      <c r="A187" s="121" t="s">
        <v>114</v>
      </c>
      <c r="B187" s="121">
        <v>113</v>
      </c>
      <c r="C187" s="122" t="s">
        <v>115</v>
      </c>
      <c r="D187" s="129">
        <v>0</v>
      </c>
      <c r="E187" s="129">
        <f t="shared" si="6"/>
        <v>0</v>
      </c>
      <c r="F187" s="129">
        <v>0</v>
      </c>
      <c r="G187" s="129">
        <f t="shared" si="7"/>
        <v>0</v>
      </c>
      <c r="H187" s="168">
        <f t="shared" si="8"/>
        <v>0</v>
      </c>
    </row>
    <row r="188" spans="1:8">
      <c r="A188" s="121" t="s">
        <v>116</v>
      </c>
      <c r="B188" s="121">
        <v>101</v>
      </c>
      <c r="C188" s="122" t="s">
        <v>117</v>
      </c>
      <c r="D188" s="129">
        <v>0</v>
      </c>
      <c r="E188" s="129">
        <f t="shared" si="6"/>
        <v>0</v>
      </c>
      <c r="F188" s="129">
        <v>0</v>
      </c>
      <c r="G188" s="129">
        <f t="shared" si="7"/>
        <v>0</v>
      </c>
      <c r="H188" s="168">
        <f t="shared" si="8"/>
        <v>0</v>
      </c>
    </row>
    <row r="189" spans="1:8">
      <c r="A189" s="121" t="s">
        <v>118</v>
      </c>
      <c r="B189" s="121">
        <v>189</v>
      </c>
      <c r="C189" s="122" t="s">
        <v>890</v>
      </c>
      <c r="D189" s="129">
        <v>4546</v>
      </c>
      <c r="E189" s="129">
        <f t="shared" si="6"/>
        <v>5643.4</v>
      </c>
      <c r="F189" s="129">
        <v>0</v>
      </c>
      <c r="G189" s="129">
        <f t="shared" si="7"/>
        <v>0</v>
      </c>
      <c r="H189" s="168">
        <f t="shared" si="8"/>
        <v>5643.4</v>
      </c>
    </row>
    <row r="190" spans="1:8">
      <c r="A190" s="121" t="s">
        <v>119</v>
      </c>
      <c r="B190" s="121">
        <v>101</v>
      </c>
      <c r="C190" s="122" t="s">
        <v>120</v>
      </c>
      <c r="D190" s="129">
        <v>0</v>
      </c>
      <c r="E190" s="129">
        <f t="shared" si="6"/>
        <v>0</v>
      </c>
      <c r="F190" s="129">
        <v>0</v>
      </c>
      <c r="G190" s="129">
        <f t="shared" si="7"/>
        <v>0</v>
      </c>
      <c r="H190" s="168">
        <f t="shared" si="8"/>
        <v>0</v>
      </c>
    </row>
    <row r="191" spans="1:8">
      <c r="A191" s="121" t="s">
        <v>159</v>
      </c>
      <c r="B191" s="121" t="s">
        <v>966</v>
      </c>
      <c r="C191" s="122" t="s">
        <v>160</v>
      </c>
      <c r="D191" s="129">
        <v>0</v>
      </c>
      <c r="E191" s="129">
        <f t="shared" si="6"/>
        <v>0</v>
      </c>
      <c r="F191" s="129">
        <v>0</v>
      </c>
      <c r="G191" s="129">
        <f t="shared" si="7"/>
        <v>0</v>
      </c>
      <c r="H191" s="168">
        <f t="shared" si="8"/>
        <v>0</v>
      </c>
    </row>
    <row r="192" spans="1:8">
      <c r="A192" s="121" t="s">
        <v>161</v>
      </c>
      <c r="B192" s="121">
        <v>171</v>
      </c>
      <c r="C192" s="122" t="s">
        <v>162</v>
      </c>
      <c r="D192" s="129">
        <v>0</v>
      </c>
      <c r="E192" s="129">
        <f t="shared" si="6"/>
        <v>0</v>
      </c>
      <c r="F192" s="129">
        <v>0</v>
      </c>
      <c r="G192" s="129">
        <f t="shared" si="7"/>
        <v>0</v>
      </c>
      <c r="H192" s="168">
        <f t="shared" si="8"/>
        <v>0</v>
      </c>
    </row>
    <row r="193" spans="1:8">
      <c r="A193" s="121" t="s">
        <v>163</v>
      </c>
      <c r="B193" s="121" t="s">
        <v>973</v>
      </c>
      <c r="C193" s="122" t="s">
        <v>164</v>
      </c>
      <c r="D193" s="129">
        <v>10362</v>
      </c>
      <c r="E193" s="129">
        <f t="shared" si="6"/>
        <v>12863.39</v>
      </c>
      <c r="F193" s="129">
        <v>0</v>
      </c>
      <c r="G193" s="129">
        <f t="shared" si="7"/>
        <v>0</v>
      </c>
      <c r="H193" s="168">
        <f t="shared" si="8"/>
        <v>12863.39</v>
      </c>
    </row>
    <row r="194" spans="1:8">
      <c r="A194" s="121" t="s">
        <v>165</v>
      </c>
      <c r="B194" s="121">
        <v>121</v>
      </c>
      <c r="C194" s="122" t="s">
        <v>166</v>
      </c>
      <c r="D194" s="129">
        <v>111782</v>
      </c>
      <c r="E194" s="129">
        <f t="shared" si="6"/>
        <v>138766.17000000001</v>
      </c>
      <c r="F194" s="129">
        <v>21968</v>
      </c>
      <c r="G194" s="129">
        <f t="shared" si="7"/>
        <v>26950.34</v>
      </c>
      <c r="H194" s="168">
        <f t="shared" si="8"/>
        <v>165716.51</v>
      </c>
    </row>
    <row r="195" spans="1:8">
      <c r="A195" s="121" t="s">
        <v>167</v>
      </c>
      <c r="B195" s="121">
        <v>123</v>
      </c>
      <c r="C195" s="122" t="s">
        <v>168</v>
      </c>
      <c r="D195" s="129">
        <v>223426</v>
      </c>
      <c r="E195" s="129">
        <f t="shared" ref="E195:E258" si="9">ROUND(D195*1.2414,2)</f>
        <v>277361.03999999998</v>
      </c>
      <c r="F195" s="129">
        <v>1380</v>
      </c>
      <c r="G195" s="129">
        <f t="shared" ref="G195:G258" si="10">ROUND(F195*1.2268,2)</f>
        <v>1692.98</v>
      </c>
      <c r="H195" s="168">
        <f t="shared" si="8"/>
        <v>279054.01999999996</v>
      </c>
    </row>
    <row r="196" spans="1:8">
      <c r="A196" s="121" t="s">
        <v>169</v>
      </c>
      <c r="B196" s="121">
        <v>171</v>
      </c>
      <c r="C196" s="122" t="s">
        <v>170</v>
      </c>
      <c r="D196" s="129">
        <v>0</v>
      </c>
      <c r="E196" s="129">
        <f t="shared" si="9"/>
        <v>0</v>
      </c>
      <c r="F196" s="129">
        <v>0</v>
      </c>
      <c r="G196" s="129">
        <f t="shared" si="10"/>
        <v>0</v>
      </c>
      <c r="H196" s="168">
        <f t="shared" si="8"/>
        <v>0</v>
      </c>
    </row>
    <row r="197" spans="1:8">
      <c r="A197" s="121" t="s">
        <v>0</v>
      </c>
      <c r="B197" s="121">
        <v>101</v>
      </c>
      <c r="C197" s="122" t="s">
        <v>1</v>
      </c>
      <c r="D197" s="129">
        <v>0</v>
      </c>
      <c r="E197" s="129">
        <f t="shared" si="9"/>
        <v>0</v>
      </c>
      <c r="F197" s="129">
        <v>0</v>
      </c>
      <c r="G197" s="129">
        <f t="shared" si="10"/>
        <v>0</v>
      </c>
      <c r="H197" s="168">
        <f t="shared" si="8"/>
        <v>0</v>
      </c>
    </row>
    <row r="198" spans="1:8">
      <c r="A198" s="121" t="s">
        <v>2</v>
      </c>
      <c r="B198" s="121">
        <v>123</v>
      </c>
      <c r="C198" s="122" t="s">
        <v>3</v>
      </c>
      <c r="D198" s="129">
        <v>341878</v>
      </c>
      <c r="E198" s="129">
        <f t="shared" si="9"/>
        <v>424407.35</v>
      </c>
      <c r="F198" s="129">
        <v>0</v>
      </c>
      <c r="G198" s="129">
        <f t="shared" si="10"/>
        <v>0</v>
      </c>
      <c r="H198" s="168">
        <f t="shared" si="8"/>
        <v>424407.35</v>
      </c>
    </row>
    <row r="199" spans="1:8">
      <c r="A199" s="121" t="s">
        <v>388</v>
      </c>
      <c r="B199" s="121">
        <v>171</v>
      </c>
      <c r="C199" s="122" t="s">
        <v>390</v>
      </c>
      <c r="D199" s="129">
        <v>11431</v>
      </c>
      <c r="E199" s="129">
        <f t="shared" si="9"/>
        <v>14190.44</v>
      </c>
      <c r="F199" s="129">
        <v>0</v>
      </c>
      <c r="G199" s="129">
        <f t="shared" si="10"/>
        <v>0</v>
      </c>
      <c r="H199" s="168">
        <f t="shared" ref="H199:H262" si="11">E199+G199</f>
        <v>14190.44</v>
      </c>
    </row>
    <row r="200" spans="1:8">
      <c r="A200" s="121" t="s">
        <v>391</v>
      </c>
      <c r="B200" s="121">
        <v>123</v>
      </c>
      <c r="C200" s="122" t="s">
        <v>392</v>
      </c>
      <c r="D200" s="129">
        <v>0</v>
      </c>
      <c r="E200" s="129">
        <f t="shared" si="9"/>
        <v>0</v>
      </c>
      <c r="F200" s="129">
        <v>0</v>
      </c>
      <c r="G200" s="129">
        <f t="shared" si="10"/>
        <v>0</v>
      </c>
      <c r="H200" s="168">
        <f t="shared" si="11"/>
        <v>0</v>
      </c>
    </row>
    <row r="201" spans="1:8">
      <c r="A201" s="121" t="s">
        <v>393</v>
      </c>
      <c r="B201" s="121">
        <v>113</v>
      </c>
      <c r="C201" s="122" t="s">
        <v>394</v>
      </c>
      <c r="D201" s="129">
        <v>0</v>
      </c>
      <c r="E201" s="129">
        <f t="shared" si="9"/>
        <v>0</v>
      </c>
      <c r="F201" s="129">
        <v>0</v>
      </c>
      <c r="G201" s="129">
        <f t="shared" si="10"/>
        <v>0</v>
      </c>
      <c r="H201" s="168">
        <f t="shared" si="11"/>
        <v>0</v>
      </c>
    </row>
    <row r="202" spans="1:8">
      <c r="A202" s="121" t="s">
        <v>395</v>
      </c>
      <c r="B202" s="121">
        <v>121</v>
      </c>
      <c r="C202" s="122" t="s">
        <v>396</v>
      </c>
      <c r="D202" s="129">
        <v>302552</v>
      </c>
      <c r="E202" s="129">
        <f t="shared" si="9"/>
        <v>375588.05</v>
      </c>
      <c r="F202" s="129">
        <v>0</v>
      </c>
      <c r="G202" s="129">
        <f t="shared" si="10"/>
        <v>0</v>
      </c>
      <c r="H202" s="168">
        <f t="shared" si="11"/>
        <v>375588.05</v>
      </c>
    </row>
    <row r="203" spans="1:8">
      <c r="A203" s="121" t="s">
        <v>397</v>
      </c>
      <c r="B203" s="121">
        <v>113</v>
      </c>
      <c r="C203" s="122" t="s">
        <v>398</v>
      </c>
      <c r="D203" s="129">
        <v>12744</v>
      </c>
      <c r="E203" s="129">
        <f t="shared" si="9"/>
        <v>15820.4</v>
      </c>
      <c r="F203" s="129">
        <v>0</v>
      </c>
      <c r="G203" s="129">
        <f t="shared" si="10"/>
        <v>0</v>
      </c>
      <c r="H203" s="168">
        <f t="shared" si="11"/>
        <v>15820.4</v>
      </c>
    </row>
    <row r="204" spans="1:8">
      <c r="A204" s="121" t="s">
        <v>399</v>
      </c>
      <c r="B204" s="121">
        <v>123</v>
      </c>
      <c r="C204" s="122" t="s">
        <v>400</v>
      </c>
      <c r="D204" s="129">
        <v>0</v>
      </c>
      <c r="E204" s="129">
        <f t="shared" si="9"/>
        <v>0</v>
      </c>
      <c r="F204" s="129">
        <v>0</v>
      </c>
      <c r="G204" s="129">
        <f t="shared" si="10"/>
        <v>0</v>
      </c>
      <c r="H204" s="168">
        <f t="shared" si="11"/>
        <v>0</v>
      </c>
    </row>
    <row r="205" spans="1:8">
      <c r="A205" s="121" t="s">
        <v>401</v>
      </c>
      <c r="B205" s="121">
        <v>114</v>
      </c>
      <c r="C205" s="122" t="s">
        <v>383</v>
      </c>
      <c r="D205" s="129">
        <v>107086</v>
      </c>
      <c r="E205" s="129">
        <f t="shared" si="9"/>
        <v>132936.56</v>
      </c>
      <c r="F205" s="129">
        <v>3314</v>
      </c>
      <c r="G205" s="129">
        <f t="shared" si="10"/>
        <v>4065.62</v>
      </c>
      <c r="H205" s="168">
        <f t="shared" si="11"/>
        <v>137002.18</v>
      </c>
    </row>
    <row r="206" spans="1:8">
      <c r="A206" s="121" t="s">
        <v>384</v>
      </c>
      <c r="B206" s="121" t="s">
        <v>972</v>
      </c>
      <c r="C206" s="122" t="s">
        <v>385</v>
      </c>
      <c r="D206" s="129">
        <v>34389</v>
      </c>
      <c r="E206" s="129">
        <f t="shared" si="9"/>
        <v>42690.5</v>
      </c>
      <c r="F206" s="129">
        <v>26638</v>
      </c>
      <c r="G206" s="129">
        <f t="shared" si="10"/>
        <v>32679.5</v>
      </c>
      <c r="H206" s="168">
        <f t="shared" si="11"/>
        <v>75370</v>
      </c>
    </row>
    <row r="207" spans="1:8">
      <c r="A207" s="121" t="s">
        <v>386</v>
      </c>
      <c r="B207" s="121">
        <v>123</v>
      </c>
      <c r="C207" s="122" t="s">
        <v>387</v>
      </c>
      <c r="D207" s="129">
        <v>1351</v>
      </c>
      <c r="E207" s="129">
        <f t="shared" si="9"/>
        <v>1677.13</v>
      </c>
      <c r="F207" s="129">
        <v>0</v>
      </c>
      <c r="G207" s="129">
        <f t="shared" si="10"/>
        <v>0</v>
      </c>
      <c r="H207" s="168">
        <f t="shared" si="11"/>
        <v>1677.13</v>
      </c>
    </row>
    <row r="208" spans="1:8">
      <c r="A208" s="121" t="s">
        <v>936</v>
      </c>
      <c r="B208" s="121" t="s">
        <v>968</v>
      </c>
      <c r="C208" s="122" t="s">
        <v>1027</v>
      </c>
      <c r="D208" s="129">
        <v>0</v>
      </c>
      <c r="E208" s="129">
        <f t="shared" si="9"/>
        <v>0</v>
      </c>
      <c r="F208" s="129">
        <v>0</v>
      </c>
      <c r="G208" s="129">
        <f t="shared" si="10"/>
        <v>0</v>
      </c>
      <c r="H208" s="168">
        <f t="shared" si="11"/>
        <v>0</v>
      </c>
    </row>
    <row r="209" spans="1:8">
      <c r="A209" s="121" t="s">
        <v>348</v>
      </c>
      <c r="B209" s="121">
        <v>123</v>
      </c>
      <c r="C209" s="122" t="s">
        <v>349</v>
      </c>
      <c r="D209" s="129">
        <v>27200</v>
      </c>
      <c r="E209" s="129">
        <f t="shared" si="9"/>
        <v>33766.080000000002</v>
      </c>
      <c r="F209" s="129">
        <v>3344</v>
      </c>
      <c r="G209" s="129">
        <f t="shared" si="10"/>
        <v>4102.42</v>
      </c>
      <c r="H209" s="168">
        <f t="shared" si="11"/>
        <v>37868.5</v>
      </c>
    </row>
    <row r="210" spans="1:8">
      <c r="A210" s="121" t="s">
        <v>350</v>
      </c>
      <c r="B210" s="121">
        <v>101</v>
      </c>
      <c r="C210" s="122" t="s">
        <v>351</v>
      </c>
      <c r="D210" s="129">
        <v>0</v>
      </c>
      <c r="E210" s="129">
        <f t="shared" si="9"/>
        <v>0</v>
      </c>
      <c r="F210" s="129">
        <v>0</v>
      </c>
      <c r="G210" s="129">
        <f t="shared" si="10"/>
        <v>0</v>
      </c>
      <c r="H210" s="168">
        <f t="shared" si="11"/>
        <v>0</v>
      </c>
    </row>
    <row r="211" spans="1:8">
      <c r="A211" s="121" t="s">
        <v>352</v>
      </c>
      <c r="B211" s="121">
        <v>121</v>
      </c>
      <c r="C211" s="122" t="s">
        <v>353</v>
      </c>
      <c r="D211" s="129">
        <v>238753</v>
      </c>
      <c r="E211" s="129">
        <f t="shared" si="9"/>
        <v>296387.96999999997</v>
      </c>
      <c r="F211" s="129">
        <v>4835</v>
      </c>
      <c r="G211" s="129">
        <f t="shared" si="10"/>
        <v>5931.58</v>
      </c>
      <c r="H211" s="168">
        <f t="shared" si="11"/>
        <v>302319.55</v>
      </c>
    </row>
    <row r="212" spans="1:8">
      <c r="A212" s="121" t="s">
        <v>354</v>
      </c>
      <c r="B212" s="121">
        <v>114</v>
      </c>
      <c r="C212" s="122" t="s">
        <v>1028</v>
      </c>
      <c r="D212" s="129">
        <v>0</v>
      </c>
      <c r="E212" s="129">
        <f t="shared" si="9"/>
        <v>0</v>
      </c>
      <c r="F212" s="129">
        <v>0</v>
      </c>
      <c r="G212" s="129">
        <f t="shared" si="10"/>
        <v>0</v>
      </c>
      <c r="H212" s="168">
        <f t="shared" si="11"/>
        <v>0</v>
      </c>
    </row>
    <row r="213" spans="1:8">
      <c r="A213" s="121" t="s">
        <v>67</v>
      </c>
      <c r="B213" s="121" t="s">
        <v>972</v>
      </c>
      <c r="C213" s="122" t="s">
        <v>242</v>
      </c>
      <c r="D213" s="129">
        <v>2532</v>
      </c>
      <c r="E213" s="129">
        <f t="shared" si="9"/>
        <v>3143.22</v>
      </c>
      <c r="F213" s="129">
        <v>3143</v>
      </c>
      <c r="G213" s="129">
        <f t="shared" si="10"/>
        <v>3855.83</v>
      </c>
      <c r="H213" s="168">
        <f t="shared" si="11"/>
        <v>6999.0499999999993</v>
      </c>
    </row>
    <row r="214" spans="1:8">
      <c r="A214" s="121" t="s">
        <v>940</v>
      </c>
      <c r="B214" s="121">
        <v>114</v>
      </c>
      <c r="C214" s="122" t="s">
        <v>1029</v>
      </c>
      <c r="D214" s="129">
        <v>0</v>
      </c>
      <c r="E214" s="129">
        <f t="shared" si="9"/>
        <v>0</v>
      </c>
      <c r="F214" s="129">
        <v>0</v>
      </c>
      <c r="G214" s="129">
        <f t="shared" si="10"/>
        <v>0</v>
      </c>
      <c r="H214" s="168">
        <f t="shared" si="11"/>
        <v>0</v>
      </c>
    </row>
    <row r="215" spans="1:8">
      <c r="A215" s="121" t="s">
        <v>243</v>
      </c>
      <c r="B215" s="121" t="s">
        <v>972</v>
      </c>
      <c r="C215" s="122" t="s">
        <v>244</v>
      </c>
      <c r="D215" s="129">
        <v>19698</v>
      </c>
      <c r="E215" s="129">
        <f t="shared" si="9"/>
        <v>24453.1</v>
      </c>
      <c r="F215" s="129">
        <v>27920</v>
      </c>
      <c r="G215" s="129">
        <f t="shared" si="10"/>
        <v>34252.26</v>
      </c>
      <c r="H215" s="168">
        <f t="shared" si="11"/>
        <v>58705.36</v>
      </c>
    </row>
    <row r="216" spans="1:8">
      <c r="A216" s="121" t="s">
        <v>362</v>
      </c>
      <c r="B216" s="121">
        <v>171</v>
      </c>
      <c r="C216" s="122" t="s">
        <v>363</v>
      </c>
      <c r="D216" s="129">
        <v>57650</v>
      </c>
      <c r="E216" s="129">
        <f t="shared" si="9"/>
        <v>71566.710000000006</v>
      </c>
      <c r="F216" s="129">
        <v>4000</v>
      </c>
      <c r="G216" s="129">
        <f t="shared" si="10"/>
        <v>4907.2</v>
      </c>
      <c r="H216" s="168">
        <f t="shared" si="11"/>
        <v>76473.91</v>
      </c>
    </row>
    <row r="217" spans="1:8">
      <c r="A217" s="121" t="s">
        <v>364</v>
      </c>
      <c r="B217" s="121">
        <v>113</v>
      </c>
      <c r="C217" s="122" t="s">
        <v>365</v>
      </c>
      <c r="D217" s="129">
        <v>10626</v>
      </c>
      <c r="E217" s="129">
        <f t="shared" si="9"/>
        <v>13191.12</v>
      </c>
      <c r="F217" s="129">
        <v>0</v>
      </c>
      <c r="G217" s="129">
        <f t="shared" si="10"/>
        <v>0</v>
      </c>
      <c r="H217" s="168">
        <f t="shared" si="11"/>
        <v>13191.12</v>
      </c>
    </row>
    <row r="218" spans="1:8">
      <c r="A218" s="121" t="s">
        <v>935</v>
      </c>
      <c r="B218" s="121">
        <v>121</v>
      </c>
      <c r="C218" s="122" t="s">
        <v>1030</v>
      </c>
      <c r="D218" s="129">
        <v>0</v>
      </c>
      <c r="E218" s="129">
        <f t="shared" si="9"/>
        <v>0</v>
      </c>
      <c r="F218" s="129">
        <v>0</v>
      </c>
      <c r="G218" s="129">
        <f t="shared" si="10"/>
        <v>0</v>
      </c>
      <c r="H218" s="168">
        <f t="shared" si="11"/>
        <v>0</v>
      </c>
    </row>
    <row r="219" spans="1:8">
      <c r="A219" s="121" t="s">
        <v>366</v>
      </c>
      <c r="B219" s="121">
        <v>113</v>
      </c>
      <c r="C219" s="122" t="s">
        <v>367</v>
      </c>
      <c r="D219" s="129">
        <v>0</v>
      </c>
      <c r="E219" s="129">
        <f t="shared" si="9"/>
        <v>0</v>
      </c>
      <c r="F219" s="129">
        <v>0</v>
      </c>
      <c r="G219" s="129">
        <f t="shared" si="10"/>
        <v>0</v>
      </c>
      <c r="H219" s="168">
        <f t="shared" si="11"/>
        <v>0</v>
      </c>
    </row>
    <row r="220" spans="1:8">
      <c r="A220" s="121" t="s">
        <v>368</v>
      </c>
      <c r="B220" s="121">
        <v>101</v>
      </c>
      <c r="C220" s="122" t="s">
        <v>1031</v>
      </c>
      <c r="D220" s="129">
        <v>0</v>
      </c>
      <c r="E220" s="129">
        <f t="shared" si="9"/>
        <v>0</v>
      </c>
      <c r="F220" s="129">
        <v>0</v>
      </c>
      <c r="G220" s="129">
        <f t="shared" si="10"/>
        <v>0</v>
      </c>
      <c r="H220" s="168">
        <f t="shared" si="11"/>
        <v>0</v>
      </c>
    </row>
    <row r="221" spans="1:8">
      <c r="A221" s="121" t="s">
        <v>370</v>
      </c>
      <c r="B221" s="121">
        <v>121</v>
      </c>
      <c r="C221" s="122" t="s">
        <v>371</v>
      </c>
      <c r="D221" s="129">
        <v>175020</v>
      </c>
      <c r="E221" s="129">
        <f t="shared" si="9"/>
        <v>217269.83</v>
      </c>
      <c r="F221" s="129">
        <v>7643</v>
      </c>
      <c r="G221" s="129">
        <f t="shared" si="10"/>
        <v>9376.43</v>
      </c>
      <c r="H221" s="168">
        <f t="shared" si="11"/>
        <v>226646.25999999998</v>
      </c>
    </row>
    <row r="222" spans="1:8">
      <c r="A222" s="121" t="s">
        <v>372</v>
      </c>
      <c r="B222" s="121">
        <v>101</v>
      </c>
      <c r="C222" s="122" t="s">
        <v>373</v>
      </c>
      <c r="D222" s="129">
        <v>0</v>
      </c>
      <c r="E222" s="129">
        <f t="shared" si="9"/>
        <v>0</v>
      </c>
      <c r="F222" s="129">
        <v>0</v>
      </c>
      <c r="G222" s="129">
        <f t="shared" si="10"/>
        <v>0</v>
      </c>
      <c r="H222" s="168">
        <f t="shared" si="11"/>
        <v>0</v>
      </c>
    </row>
    <row r="223" spans="1:8">
      <c r="A223" s="121" t="s">
        <v>374</v>
      </c>
      <c r="B223" s="121">
        <v>123</v>
      </c>
      <c r="C223" s="122" t="s">
        <v>375</v>
      </c>
      <c r="D223" s="129">
        <v>825466</v>
      </c>
      <c r="E223" s="129">
        <f t="shared" si="9"/>
        <v>1024733.49</v>
      </c>
      <c r="F223" s="129">
        <v>0</v>
      </c>
      <c r="G223" s="129">
        <f t="shared" si="10"/>
        <v>0</v>
      </c>
      <c r="H223" s="168">
        <f t="shared" si="11"/>
        <v>1024733.49</v>
      </c>
    </row>
    <row r="224" spans="1:8">
      <c r="A224" s="121" t="s">
        <v>376</v>
      </c>
      <c r="B224" s="121">
        <v>112</v>
      </c>
      <c r="C224" s="122" t="s">
        <v>377</v>
      </c>
      <c r="D224" s="129">
        <v>193487</v>
      </c>
      <c r="E224" s="129">
        <f t="shared" si="9"/>
        <v>240194.76</v>
      </c>
      <c r="F224" s="129">
        <v>0</v>
      </c>
      <c r="G224" s="129">
        <f t="shared" si="10"/>
        <v>0</v>
      </c>
      <c r="H224" s="168">
        <f t="shared" si="11"/>
        <v>240194.76</v>
      </c>
    </row>
    <row r="225" spans="1:8">
      <c r="A225" s="121" t="s">
        <v>378</v>
      </c>
      <c r="B225" s="121">
        <v>101</v>
      </c>
      <c r="C225" s="122" t="s">
        <v>379</v>
      </c>
      <c r="D225" s="129">
        <v>0</v>
      </c>
      <c r="E225" s="129">
        <f t="shared" si="9"/>
        <v>0</v>
      </c>
      <c r="F225" s="129">
        <v>0</v>
      </c>
      <c r="G225" s="129">
        <f t="shared" si="10"/>
        <v>0</v>
      </c>
      <c r="H225" s="168">
        <f t="shared" si="11"/>
        <v>0</v>
      </c>
    </row>
    <row r="226" spans="1:8">
      <c r="A226" s="121" t="s">
        <v>380</v>
      </c>
      <c r="B226" s="121" t="s">
        <v>966</v>
      </c>
      <c r="C226" s="122" t="s">
        <v>381</v>
      </c>
      <c r="D226" s="129">
        <v>4293</v>
      </c>
      <c r="E226" s="129">
        <f t="shared" si="9"/>
        <v>5329.33</v>
      </c>
      <c r="F226" s="129">
        <v>0</v>
      </c>
      <c r="G226" s="129">
        <f t="shared" si="10"/>
        <v>0</v>
      </c>
      <c r="H226" s="168">
        <f t="shared" si="11"/>
        <v>5329.33</v>
      </c>
    </row>
    <row r="227" spans="1:8">
      <c r="A227" s="121" t="s">
        <v>382</v>
      </c>
      <c r="B227" s="121">
        <v>121</v>
      </c>
      <c r="C227" s="122" t="s">
        <v>269</v>
      </c>
      <c r="D227" s="129">
        <v>245599</v>
      </c>
      <c r="E227" s="129">
        <f t="shared" si="9"/>
        <v>304886.59999999998</v>
      </c>
      <c r="F227" s="129">
        <v>0</v>
      </c>
      <c r="G227" s="129">
        <f t="shared" si="10"/>
        <v>0</v>
      </c>
      <c r="H227" s="168">
        <f t="shared" si="11"/>
        <v>304886.59999999998</v>
      </c>
    </row>
    <row r="228" spans="1:8">
      <c r="A228" s="123" t="s">
        <v>270</v>
      </c>
      <c r="B228" s="123">
        <v>113</v>
      </c>
      <c r="C228" s="122" t="s">
        <v>271</v>
      </c>
      <c r="D228" s="129">
        <v>13922</v>
      </c>
      <c r="E228" s="129">
        <f t="shared" si="9"/>
        <v>17282.77</v>
      </c>
      <c r="F228" s="129">
        <v>0</v>
      </c>
      <c r="G228" s="129">
        <f t="shared" si="10"/>
        <v>0</v>
      </c>
      <c r="H228" s="168">
        <f t="shared" si="11"/>
        <v>17282.77</v>
      </c>
    </row>
    <row r="229" spans="1:8">
      <c r="A229" s="123" t="s">
        <v>272</v>
      </c>
      <c r="B229" s="123">
        <v>112</v>
      </c>
      <c r="C229" s="122" t="s">
        <v>273</v>
      </c>
      <c r="D229" s="129">
        <v>0</v>
      </c>
      <c r="E229" s="129">
        <f t="shared" si="9"/>
        <v>0</v>
      </c>
      <c r="F229" s="129">
        <v>0</v>
      </c>
      <c r="G229" s="129">
        <f t="shared" si="10"/>
        <v>0</v>
      </c>
      <c r="H229" s="168">
        <f t="shared" si="11"/>
        <v>0</v>
      </c>
    </row>
    <row r="230" spans="1:8">
      <c r="A230" s="121" t="s">
        <v>274</v>
      </c>
      <c r="B230" s="121">
        <v>101</v>
      </c>
      <c r="C230" s="122" t="s">
        <v>275</v>
      </c>
      <c r="D230" s="129">
        <v>0</v>
      </c>
      <c r="E230" s="129">
        <f t="shared" si="9"/>
        <v>0</v>
      </c>
      <c r="F230" s="129">
        <v>0</v>
      </c>
      <c r="G230" s="129">
        <f t="shared" si="10"/>
        <v>0</v>
      </c>
      <c r="H230" s="168">
        <f t="shared" si="11"/>
        <v>0</v>
      </c>
    </row>
    <row r="231" spans="1:8">
      <c r="A231" s="121" t="s">
        <v>276</v>
      </c>
      <c r="B231" s="121">
        <v>105</v>
      </c>
      <c r="C231" s="122" t="s">
        <v>545</v>
      </c>
      <c r="D231" s="129">
        <v>0</v>
      </c>
      <c r="E231" s="129">
        <f t="shared" si="9"/>
        <v>0</v>
      </c>
      <c r="F231" s="129">
        <v>0</v>
      </c>
      <c r="G231" s="129">
        <f t="shared" si="10"/>
        <v>0</v>
      </c>
      <c r="H231" s="168">
        <f t="shared" si="11"/>
        <v>0</v>
      </c>
    </row>
    <row r="232" spans="1:8">
      <c r="A232" s="121" t="s">
        <v>546</v>
      </c>
      <c r="B232" s="121">
        <v>189</v>
      </c>
      <c r="C232" s="122" t="s">
        <v>579</v>
      </c>
      <c r="D232" s="129">
        <v>17492</v>
      </c>
      <c r="E232" s="129">
        <f t="shared" si="9"/>
        <v>21714.57</v>
      </c>
      <c r="F232" s="129">
        <v>25547</v>
      </c>
      <c r="G232" s="129">
        <f t="shared" si="10"/>
        <v>31341.06</v>
      </c>
      <c r="H232" s="168">
        <f t="shared" si="11"/>
        <v>53055.630000000005</v>
      </c>
    </row>
    <row r="233" spans="1:8">
      <c r="A233" s="121" t="s">
        <v>547</v>
      </c>
      <c r="B233" s="121">
        <v>113</v>
      </c>
      <c r="C233" s="122" t="s">
        <v>548</v>
      </c>
      <c r="D233" s="129">
        <v>0</v>
      </c>
      <c r="E233" s="129">
        <f t="shared" si="9"/>
        <v>0</v>
      </c>
      <c r="F233" s="129">
        <v>0</v>
      </c>
      <c r="G233" s="129">
        <f t="shared" si="10"/>
        <v>0</v>
      </c>
      <c r="H233" s="168">
        <f t="shared" si="11"/>
        <v>0</v>
      </c>
    </row>
    <row r="234" spans="1:8">
      <c r="A234" s="121" t="s">
        <v>587</v>
      </c>
      <c r="B234" s="121">
        <v>112</v>
      </c>
      <c r="C234" s="122" t="s">
        <v>1032</v>
      </c>
      <c r="D234" s="129">
        <v>0</v>
      </c>
      <c r="E234" s="129">
        <f t="shared" si="9"/>
        <v>0</v>
      </c>
      <c r="F234" s="129">
        <v>0</v>
      </c>
      <c r="G234" s="129">
        <f t="shared" si="10"/>
        <v>0</v>
      </c>
      <c r="H234" s="168">
        <f t="shared" si="11"/>
        <v>0</v>
      </c>
    </row>
    <row r="235" spans="1:8">
      <c r="A235" s="121" t="s">
        <v>837</v>
      </c>
      <c r="B235" s="121">
        <v>112</v>
      </c>
      <c r="C235" s="122" t="s">
        <v>1033</v>
      </c>
      <c r="D235" s="129">
        <v>0</v>
      </c>
      <c r="E235" s="129">
        <f t="shared" si="9"/>
        <v>0</v>
      </c>
      <c r="F235" s="129">
        <v>0</v>
      </c>
      <c r="G235" s="129">
        <f t="shared" si="10"/>
        <v>0</v>
      </c>
      <c r="H235" s="168">
        <f t="shared" si="11"/>
        <v>0</v>
      </c>
    </row>
    <row r="236" spans="1:8">
      <c r="A236" s="121" t="s">
        <v>549</v>
      </c>
      <c r="B236" s="121">
        <v>121</v>
      </c>
      <c r="C236" s="122" t="s">
        <v>550</v>
      </c>
      <c r="D236" s="129">
        <v>11559751</v>
      </c>
      <c r="E236" s="129">
        <f t="shared" si="9"/>
        <v>14350274.890000001</v>
      </c>
      <c r="F236" s="129">
        <v>65982</v>
      </c>
      <c r="G236" s="129">
        <f t="shared" si="10"/>
        <v>80946.720000000001</v>
      </c>
      <c r="H236" s="168">
        <f t="shared" si="11"/>
        <v>14431221.610000001</v>
      </c>
    </row>
    <row r="237" spans="1:8">
      <c r="A237" s="121" t="s">
        <v>551</v>
      </c>
      <c r="B237" s="121">
        <v>189</v>
      </c>
      <c r="C237" s="122" t="s">
        <v>552</v>
      </c>
      <c r="D237" s="129">
        <v>313318</v>
      </c>
      <c r="E237" s="129">
        <f t="shared" si="9"/>
        <v>388952.97</v>
      </c>
      <c r="F237" s="129">
        <v>16052</v>
      </c>
      <c r="G237" s="129">
        <f t="shared" si="10"/>
        <v>19692.59</v>
      </c>
      <c r="H237" s="168">
        <f t="shared" si="11"/>
        <v>408645.56</v>
      </c>
    </row>
    <row r="238" spans="1:8">
      <c r="A238" s="121" t="s">
        <v>553</v>
      </c>
      <c r="B238" s="121">
        <v>105</v>
      </c>
      <c r="C238" s="122" t="s">
        <v>554</v>
      </c>
      <c r="D238" s="129">
        <v>35157</v>
      </c>
      <c r="E238" s="129">
        <f t="shared" si="9"/>
        <v>43643.9</v>
      </c>
      <c r="F238" s="129">
        <v>20519</v>
      </c>
      <c r="G238" s="129">
        <f t="shared" si="10"/>
        <v>25172.71</v>
      </c>
      <c r="H238" s="168">
        <f t="shared" si="11"/>
        <v>68816.61</v>
      </c>
    </row>
    <row r="239" spans="1:8">
      <c r="A239" s="121" t="s">
        <v>555</v>
      </c>
      <c r="B239" s="121">
        <v>101</v>
      </c>
      <c r="C239" s="122" t="s">
        <v>556</v>
      </c>
      <c r="D239" s="129">
        <v>0</v>
      </c>
      <c r="E239" s="129">
        <f t="shared" si="9"/>
        <v>0</v>
      </c>
      <c r="F239" s="129">
        <v>0</v>
      </c>
      <c r="G239" s="129">
        <f t="shared" si="10"/>
        <v>0</v>
      </c>
      <c r="H239" s="168">
        <f t="shared" si="11"/>
        <v>0</v>
      </c>
    </row>
    <row r="240" spans="1:8">
      <c r="A240" s="121" t="s">
        <v>557</v>
      </c>
      <c r="B240" s="121">
        <v>114</v>
      </c>
      <c r="C240" s="122" t="s">
        <v>558</v>
      </c>
      <c r="D240" s="129">
        <v>87192</v>
      </c>
      <c r="E240" s="129">
        <f t="shared" si="9"/>
        <v>108240.15</v>
      </c>
      <c r="F240" s="129">
        <v>857</v>
      </c>
      <c r="G240" s="129">
        <f t="shared" si="10"/>
        <v>1051.3699999999999</v>
      </c>
      <c r="H240" s="168">
        <f t="shared" si="11"/>
        <v>109291.51999999999</v>
      </c>
    </row>
    <row r="241" spans="1:8">
      <c r="A241" s="121" t="s">
        <v>559</v>
      </c>
      <c r="B241" s="121">
        <v>189</v>
      </c>
      <c r="C241" s="122" t="s">
        <v>560</v>
      </c>
      <c r="D241" s="129">
        <v>0</v>
      </c>
      <c r="E241" s="129">
        <f t="shared" si="9"/>
        <v>0</v>
      </c>
      <c r="F241" s="129">
        <v>0</v>
      </c>
      <c r="G241" s="129">
        <f t="shared" si="10"/>
        <v>0</v>
      </c>
      <c r="H241" s="168">
        <f t="shared" si="11"/>
        <v>0</v>
      </c>
    </row>
    <row r="242" spans="1:8">
      <c r="A242" s="121" t="s">
        <v>561</v>
      </c>
      <c r="B242" s="121">
        <v>113</v>
      </c>
      <c r="C242" s="122" t="s">
        <v>562</v>
      </c>
      <c r="D242" s="129">
        <v>163846</v>
      </c>
      <c r="E242" s="129">
        <f t="shared" si="9"/>
        <v>203398.42</v>
      </c>
      <c r="F242" s="129">
        <v>33093</v>
      </c>
      <c r="G242" s="129">
        <f t="shared" si="10"/>
        <v>40598.49</v>
      </c>
      <c r="H242" s="168">
        <f t="shared" si="11"/>
        <v>243996.91</v>
      </c>
    </row>
    <row r="243" spans="1:8">
      <c r="A243" s="121" t="s">
        <v>563</v>
      </c>
      <c r="B243" s="121">
        <v>121</v>
      </c>
      <c r="C243" s="122" t="s">
        <v>564</v>
      </c>
      <c r="D243" s="129">
        <v>2017772</v>
      </c>
      <c r="E243" s="129">
        <f t="shared" si="9"/>
        <v>2504862.16</v>
      </c>
      <c r="F243" s="129">
        <v>122717</v>
      </c>
      <c r="G243" s="129">
        <f t="shared" si="10"/>
        <v>150549.22</v>
      </c>
      <c r="H243" s="168">
        <f t="shared" si="11"/>
        <v>2655411.3800000004</v>
      </c>
    </row>
    <row r="244" spans="1:8">
      <c r="A244" s="121" t="s">
        <v>565</v>
      </c>
      <c r="B244" s="121">
        <v>112</v>
      </c>
      <c r="C244" s="122" t="s">
        <v>76</v>
      </c>
      <c r="D244" s="129">
        <v>0</v>
      </c>
      <c r="E244" s="129">
        <f t="shared" si="9"/>
        <v>0</v>
      </c>
      <c r="F244" s="129">
        <v>0</v>
      </c>
      <c r="G244" s="129">
        <f t="shared" si="10"/>
        <v>0</v>
      </c>
      <c r="H244" s="168">
        <f t="shared" si="11"/>
        <v>0</v>
      </c>
    </row>
    <row r="245" spans="1:8">
      <c r="A245" s="121" t="s">
        <v>77</v>
      </c>
      <c r="B245" s="121">
        <v>121</v>
      </c>
      <c r="C245" s="122" t="s">
        <v>78</v>
      </c>
      <c r="D245" s="129">
        <v>10001</v>
      </c>
      <c r="E245" s="129">
        <f t="shared" si="9"/>
        <v>12415.24</v>
      </c>
      <c r="F245" s="129">
        <v>0</v>
      </c>
      <c r="G245" s="129">
        <f t="shared" si="10"/>
        <v>0</v>
      </c>
      <c r="H245" s="168">
        <f t="shared" si="11"/>
        <v>12415.24</v>
      </c>
    </row>
    <row r="246" spans="1:8">
      <c r="A246" s="121" t="s">
        <v>79</v>
      </c>
      <c r="B246" s="121">
        <v>189</v>
      </c>
      <c r="C246" s="122" t="s">
        <v>80</v>
      </c>
      <c r="D246" s="129">
        <v>1603734</v>
      </c>
      <c r="E246" s="129">
        <f t="shared" si="9"/>
        <v>1990875.39</v>
      </c>
      <c r="F246" s="129">
        <v>0</v>
      </c>
      <c r="G246" s="129">
        <f t="shared" si="10"/>
        <v>0</v>
      </c>
      <c r="H246" s="168">
        <f t="shared" si="11"/>
        <v>1990875.39</v>
      </c>
    </row>
    <row r="247" spans="1:8">
      <c r="A247" s="121" t="s">
        <v>81</v>
      </c>
      <c r="B247" s="121">
        <v>121</v>
      </c>
      <c r="C247" s="122" t="s">
        <v>82</v>
      </c>
      <c r="D247" s="129">
        <v>788676</v>
      </c>
      <c r="E247" s="129">
        <f t="shared" si="9"/>
        <v>979062.39</v>
      </c>
      <c r="F247" s="129">
        <v>0</v>
      </c>
      <c r="G247" s="129">
        <f t="shared" si="10"/>
        <v>0</v>
      </c>
      <c r="H247" s="168">
        <f t="shared" si="11"/>
        <v>979062.39</v>
      </c>
    </row>
    <row r="248" spans="1:8">
      <c r="A248" s="121" t="s">
        <v>83</v>
      </c>
      <c r="B248" s="121">
        <v>171</v>
      </c>
      <c r="C248" s="122" t="s">
        <v>84</v>
      </c>
      <c r="D248" s="129">
        <v>12531</v>
      </c>
      <c r="E248" s="129">
        <f t="shared" si="9"/>
        <v>15555.98</v>
      </c>
      <c r="F248" s="129">
        <v>0</v>
      </c>
      <c r="G248" s="129">
        <f t="shared" si="10"/>
        <v>0</v>
      </c>
      <c r="H248" s="168">
        <f t="shared" si="11"/>
        <v>15555.98</v>
      </c>
    </row>
    <row r="249" spans="1:8">
      <c r="A249" s="121" t="s">
        <v>932</v>
      </c>
      <c r="B249" s="121">
        <v>121</v>
      </c>
      <c r="C249" s="122" t="s">
        <v>1034</v>
      </c>
      <c r="D249" s="129">
        <v>0</v>
      </c>
      <c r="E249" s="129">
        <f t="shared" si="9"/>
        <v>0</v>
      </c>
      <c r="F249" s="129">
        <v>0</v>
      </c>
      <c r="G249" s="129">
        <f t="shared" si="10"/>
        <v>0</v>
      </c>
      <c r="H249" s="168">
        <f t="shared" si="11"/>
        <v>0</v>
      </c>
    </row>
    <row r="250" spans="1:8">
      <c r="A250" s="121" t="s">
        <v>85</v>
      </c>
      <c r="B250" s="121">
        <v>113</v>
      </c>
      <c r="C250" s="122" t="s">
        <v>86</v>
      </c>
      <c r="D250" s="129">
        <v>3013</v>
      </c>
      <c r="E250" s="129">
        <f t="shared" si="9"/>
        <v>3740.34</v>
      </c>
      <c r="F250" s="129">
        <v>0</v>
      </c>
      <c r="G250" s="129">
        <f t="shared" si="10"/>
        <v>0</v>
      </c>
      <c r="H250" s="168">
        <f t="shared" si="11"/>
        <v>3740.34</v>
      </c>
    </row>
    <row r="251" spans="1:8">
      <c r="A251" s="121" t="s">
        <v>567</v>
      </c>
      <c r="B251" s="121">
        <v>114</v>
      </c>
      <c r="C251" s="122" t="s">
        <v>568</v>
      </c>
      <c r="D251" s="129">
        <v>135370</v>
      </c>
      <c r="E251" s="129">
        <f t="shared" si="9"/>
        <v>168048.32</v>
      </c>
      <c r="F251" s="129">
        <v>24642</v>
      </c>
      <c r="G251" s="129">
        <f t="shared" si="10"/>
        <v>30230.81</v>
      </c>
      <c r="H251" s="168">
        <f t="shared" si="11"/>
        <v>198279.13</v>
      </c>
    </row>
    <row r="252" spans="1:8">
      <c r="A252" s="121" t="s">
        <v>569</v>
      </c>
      <c r="B252" s="121">
        <v>189</v>
      </c>
      <c r="C252" s="122" t="s">
        <v>570</v>
      </c>
      <c r="D252" s="129">
        <v>115355</v>
      </c>
      <c r="E252" s="129">
        <f t="shared" si="9"/>
        <v>143201.70000000001</v>
      </c>
      <c r="F252" s="129">
        <v>42950</v>
      </c>
      <c r="G252" s="129">
        <f t="shared" si="10"/>
        <v>52691.06</v>
      </c>
      <c r="H252" s="168">
        <f t="shared" si="11"/>
        <v>195892.76</v>
      </c>
    </row>
    <row r="253" spans="1:8">
      <c r="A253" s="121" t="s">
        <v>571</v>
      </c>
      <c r="B253" s="121">
        <v>113</v>
      </c>
      <c r="C253" s="122" t="s">
        <v>572</v>
      </c>
      <c r="D253" s="129">
        <v>0</v>
      </c>
      <c r="E253" s="129">
        <f t="shared" si="9"/>
        <v>0</v>
      </c>
      <c r="F253" s="129">
        <v>0</v>
      </c>
      <c r="G253" s="129">
        <f t="shared" si="10"/>
        <v>0</v>
      </c>
      <c r="H253" s="168">
        <f t="shared" si="11"/>
        <v>0</v>
      </c>
    </row>
    <row r="254" spans="1:8">
      <c r="A254" s="121" t="s">
        <v>573</v>
      </c>
      <c r="B254" s="121">
        <v>101</v>
      </c>
      <c r="C254" s="122" t="s">
        <v>540</v>
      </c>
      <c r="D254" s="129">
        <v>2189694</v>
      </c>
      <c r="E254" s="129">
        <f t="shared" si="9"/>
        <v>2718286.13</v>
      </c>
      <c r="F254" s="129">
        <v>1173967</v>
      </c>
      <c r="G254" s="129">
        <f t="shared" si="10"/>
        <v>1440222.72</v>
      </c>
      <c r="H254" s="168">
        <f t="shared" si="11"/>
        <v>4158508.8499999996</v>
      </c>
    </row>
    <row r="255" spans="1:8">
      <c r="A255" s="121" t="s">
        <v>937</v>
      </c>
      <c r="B255" s="121" t="s">
        <v>966</v>
      </c>
      <c r="C255" s="122" t="s">
        <v>1035</v>
      </c>
      <c r="D255" s="129">
        <v>0</v>
      </c>
      <c r="E255" s="129">
        <f t="shared" si="9"/>
        <v>0</v>
      </c>
      <c r="F255" s="129">
        <v>0</v>
      </c>
      <c r="G255" s="129">
        <f t="shared" si="10"/>
        <v>0</v>
      </c>
      <c r="H255" s="168">
        <f t="shared" si="11"/>
        <v>0</v>
      </c>
    </row>
    <row r="256" spans="1:8">
      <c r="A256" s="121" t="s">
        <v>541</v>
      </c>
      <c r="B256" s="121" t="s">
        <v>966</v>
      </c>
      <c r="C256" s="122" t="s">
        <v>542</v>
      </c>
      <c r="D256" s="129">
        <v>0</v>
      </c>
      <c r="E256" s="129">
        <f t="shared" si="9"/>
        <v>0</v>
      </c>
      <c r="F256" s="129">
        <v>0</v>
      </c>
      <c r="G256" s="129">
        <f t="shared" si="10"/>
        <v>0</v>
      </c>
      <c r="H256" s="168">
        <f t="shared" si="11"/>
        <v>0</v>
      </c>
    </row>
    <row r="257" spans="1:8">
      <c r="A257" s="121" t="s">
        <v>543</v>
      </c>
      <c r="B257" s="121">
        <v>101</v>
      </c>
      <c r="C257" s="122" t="s">
        <v>544</v>
      </c>
      <c r="D257" s="129">
        <v>1684</v>
      </c>
      <c r="E257" s="129">
        <f t="shared" si="9"/>
        <v>2090.52</v>
      </c>
      <c r="F257" s="129">
        <v>0</v>
      </c>
      <c r="G257" s="129">
        <f t="shared" si="10"/>
        <v>0</v>
      </c>
      <c r="H257" s="168">
        <f t="shared" si="11"/>
        <v>2090.52</v>
      </c>
    </row>
    <row r="258" spans="1:8">
      <c r="A258" s="121" t="s">
        <v>57</v>
      </c>
      <c r="B258" s="121">
        <v>189</v>
      </c>
      <c r="C258" s="122" t="s">
        <v>1036</v>
      </c>
      <c r="D258" s="129">
        <v>552126</v>
      </c>
      <c r="E258" s="129">
        <f t="shared" si="9"/>
        <v>685409.22</v>
      </c>
      <c r="F258" s="129">
        <v>0</v>
      </c>
      <c r="G258" s="129">
        <f t="shared" si="10"/>
        <v>0</v>
      </c>
      <c r="H258" s="168">
        <f t="shared" si="11"/>
        <v>685409.22</v>
      </c>
    </row>
    <row r="259" spans="1:8">
      <c r="A259" s="121" t="s">
        <v>59</v>
      </c>
      <c r="B259" s="121" t="s">
        <v>968</v>
      </c>
      <c r="C259" s="122" t="s">
        <v>60</v>
      </c>
      <c r="D259" s="129">
        <v>0</v>
      </c>
      <c r="E259" s="129">
        <f t="shared" ref="E259:E320" si="12">ROUND(D259*1.2414,2)</f>
        <v>0</v>
      </c>
      <c r="F259" s="129">
        <v>0</v>
      </c>
      <c r="G259" s="129">
        <f t="shared" ref="G259:G320" si="13">ROUND(F259*1.2268,2)</f>
        <v>0</v>
      </c>
      <c r="H259" s="168">
        <f t="shared" si="11"/>
        <v>0</v>
      </c>
    </row>
    <row r="260" spans="1:8">
      <c r="A260" s="121" t="s">
        <v>61</v>
      </c>
      <c r="B260" s="121">
        <v>123</v>
      </c>
      <c r="C260" s="122" t="s">
        <v>62</v>
      </c>
      <c r="D260" s="129">
        <v>0</v>
      </c>
      <c r="E260" s="129">
        <f t="shared" si="12"/>
        <v>0</v>
      </c>
      <c r="F260" s="129">
        <v>0</v>
      </c>
      <c r="G260" s="129">
        <f t="shared" si="13"/>
        <v>0</v>
      </c>
      <c r="H260" s="168">
        <f t="shared" si="11"/>
        <v>0</v>
      </c>
    </row>
    <row r="261" spans="1:8">
      <c r="A261" s="121" t="s">
        <v>63</v>
      </c>
      <c r="B261" s="121">
        <v>171</v>
      </c>
      <c r="C261" s="122" t="s">
        <v>64</v>
      </c>
      <c r="D261" s="129">
        <v>0</v>
      </c>
      <c r="E261" s="129">
        <f t="shared" si="12"/>
        <v>0</v>
      </c>
      <c r="F261" s="129">
        <v>0</v>
      </c>
      <c r="G261" s="129">
        <f t="shared" si="13"/>
        <v>0</v>
      </c>
      <c r="H261" s="168">
        <f t="shared" si="11"/>
        <v>0</v>
      </c>
    </row>
    <row r="262" spans="1:8">
      <c r="A262" s="121" t="s">
        <v>65</v>
      </c>
      <c r="B262" s="121">
        <v>121</v>
      </c>
      <c r="C262" s="122" t="s">
        <v>578</v>
      </c>
      <c r="D262" s="129">
        <v>247832</v>
      </c>
      <c r="E262" s="129">
        <f t="shared" si="12"/>
        <v>307658.64</v>
      </c>
      <c r="F262" s="129">
        <v>0</v>
      </c>
      <c r="G262" s="129">
        <f t="shared" si="13"/>
        <v>0</v>
      </c>
      <c r="H262" s="168">
        <f t="shared" si="11"/>
        <v>307658.64</v>
      </c>
    </row>
    <row r="263" spans="1:8">
      <c r="A263" s="121" t="s">
        <v>66</v>
      </c>
      <c r="B263" s="121">
        <v>101</v>
      </c>
      <c r="C263" s="122" t="s">
        <v>4</v>
      </c>
      <c r="D263" s="129">
        <v>2007</v>
      </c>
      <c r="E263" s="129">
        <f t="shared" si="12"/>
        <v>2491.4899999999998</v>
      </c>
      <c r="F263" s="129">
        <v>0</v>
      </c>
      <c r="G263" s="129">
        <f t="shared" si="13"/>
        <v>0</v>
      </c>
      <c r="H263" s="168">
        <f t="shared" ref="H263:H320" si="14">E263+G263</f>
        <v>2491.4899999999998</v>
      </c>
    </row>
    <row r="264" spans="1:8">
      <c r="A264" s="121" t="s">
        <v>5</v>
      </c>
      <c r="B264" s="121">
        <v>112</v>
      </c>
      <c r="C264" s="122" t="s">
        <v>6</v>
      </c>
      <c r="D264" s="129">
        <v>0</v>
      </c>
      <c r="E264" s="129">
        <f t="shared" si="12"/>
        <v>0</v>
      </c>
      <c r="F264" s="129">
        <v>0</v>
      </c>
      <c r="G264" s="129">
        <f t="shared" si="13"/>
        <v>0</v>
      </c>
      <c r="H264" s="168">
        <f t="shared" si="14"/>
        <v>0</v>
      </c>
    </row>
    <row r="265" spans="1:8">
      <c r="A265" s="121" t="s">
        <v>7</v>
      </c>
      <c r="B265" s="121">
        <v>189</v>
      </c>
      <c r="C265" s="122" t="s">
        <v>8</v>
      </c>
      <c r="D265" s="129">
        <v>89455</v>
      </c>
      <c r="E265" s="129">
        <f t="shared" si="12"/>
        <v>111049.44</v>
      </c>
      <c r="F265" s="129">
        <v>55528</v>
      </c>
      <c r="G265" s="129">
        <f t="shared" si="13"/>
        <v>68121.75</v>
      </c>
      <c r="H265" s="168">
        <f t="shared" si="14"/>
        <v>179171.19</v>
      </c>
    </row>
    <row r="266" spans="1:8">
      <c r="A266" s="121" t="s">
        <v>954</v>
      </c>
      <c r="B266" s="121">
        <v>121</v>
      </c>
      <c r="C266" s="122" t="s">
        <v>1037</v>
      </c>
      <c r="D266" s="129">
        <v>0</v>
      </c>
      <c r="E266" s="129">
        <f t="shared" si="12"/>
        <v>0</v>
      </c>
      <c r="F266" s="129">
        <v>0</v>
      </c>
      <c r="G266" s="129">
        <f t="shared" si="13"/>
        <v>0</v>
      </c>
      <c r="H266" s="168">
        <f t="shared" si="14"/>
        <v>0</v>
      </c>
    </row>
    <row r="267" spans="1:8">
      <c r="A267" s="121" t="s">
        <v>934</v>
      </c>
      <c r="B267" s="121">
        <v>121</v>
      </c>
      <c r="C267" s="122" t="s">
        <v>1038</v>
      </c>
      <c r="D267" s="129">
        <v>0</v>
      </c>
      <c r="E267" s="129">
        <f t="shared" si="12"/>
        <v>0</v>
      </c>
      <c r="F267" s="129">
        <v>0</v>
      </c>
      <c r="G267" s="129">
        <f t="shared" si="13"/>
        <v>0</v>
      </c>
      <c r="H267" s="168">
        <f t="shared" si="14"/>
        <v>0</v>
      </c>
    </row>
    <row r="268" spans="1:8">
      <c r="A268" s="121" t="s">
        <v>933</v>
      </c>
      <c r="B268" s="121">
        <v>121</v>
      </c>
      <c r="C268" s="122" t="s">
        <v>1039</v>
      </c>
      <c r="D268" s="129">
        <v>0</v>
      </c>
      <c r="E268" s="129">
        <f t="shared" si="12"/>
        <v>0</v>
      </c>
      <c r="F268" s="129">
        <v>0</v>
      </c>
      <c r="G268" s="129">
        <f t="shared" si="13"/>
        <v>0</v>
      </c>
      <c r="H268" s="168">
        <f t="shared" si="14"/>
        <v>0</v>
      </c>
    </row>
    <row r="269" spans="1:8">
      <c r="A269" s="121" t="s">
        <v>9</v>
      </c>
      <c r="B269" s="121">
        <v>101</v>
      </c>
      <c r="C269" s="122" t="s">
        <v>10</v>
      </c>
      <c r="D269" s="129">
        <v>0</v>
      </c>
      <c r="E269" s="129">
        <f t="shared" si="12"/>
        <v>0</v>
      </c>
      <c r="F269" s="129">
        <v>0</v>
      </c>
      <c r="G269" s="129">
        <f t="shared" si="13"/>
        <v>0</v>
      </c>
      <c r="H269" s="168">
        <f t="shared" si="14"/>
        <v>0</v>
      </c>
    </row>
    <row r="270" spans="1:8">
      <c r="A270" s="121" t="s">
        <v>246</v>
      </c>
      <c r="B270" s="121">
        <v>121</v>
      </c>
      <c r="C270" s="122" t="s">
        <v>247</v>
      </c>
      <c r="D270" s="129">
        <v>1174707</v>
      </c>
      <c r="E270" s="129">
        <f t="shared" si="12"/>
        <v>1458281.27</v>
      </c>
      <c r="F270" s="129">
        <v>600</v>
      </c>
      <c r="G270" s="129">
        <f t="shared" si="13"/>
        <v>736.08</v>
      </c>
      <c r="H270" s="168">
        <f t="shared" si="14"/>
        <v>1459017.35</v>
      </c>
    </row>
    <row r="271" spans="1:8">
      <c r="A271" s="121" t="s">
        <v>248</v>
      </c>
      <c r="B271" s="121">
        <v>105</v>
      </c>
      <c r="C271" s="122" t="s">
        <v>249</v>
      </c>
      <c r="D271" s="129">
        <v>398137</v>
      </c>
      <c r="E271" s="129">
        <f t="shared" si="12"/>
        <v>494247.27</v>
      </c>
      <c r="F271" s="129">
        <v>0</v>
      </c>
      <c r="G271" s="129">
        <f t="shared" si="13"/>
        <v>0</v>
      </c>
      <c r="H271" s="168">
        <f t="shared" si="14"/>
        <v>494247.27</v>
      </c>
    </row>
    <row r="272" spans="1:8">
      <c r="A272" s="121" t="s">
        <v>881</v>
      </c>
      <c r="B272" s="121">
        <v>114</v>
      </c>
      <c r="C272" s="122" t="s">
        <v>1040</v>
      </c>
      <c r="D272" s="129">
        <v>0</v>
      </c>
      <c r="E272" s="129">
        <f t="shared" si="12"/>
        <v>0</v>
      </c>
      <c r="F272" s="129">
        <v>0</v>
      </c>
      <c r="G272" s="129">
        <f t="shared" si="13"/>
        <v>0</v>
      </c>
      <c r="H272" s="168">
        <f t="shared" si="14"/>
        <v>0</v>
      </c>
    </row>
    <row r="273" spans="1:8">
      <c r="A273" s="121" t="s">
        <v>250</v>
      </c>
      <c r="B273" s="121" t="s">
        <v>969</v>
      </c>
      <c r="C273" s="122" t="s">
        <v>251</v>
      </c>
      <c r="D273" s="129">
        <v>1948258</v>
      </c>
      <c r="E273" s="129">
        <f t="shared" si="12"/>
        <v>2418567.48</v>
      </c>
      <c r="F273" s="129">
        <v>24909</v>
      </c>
      <c r="G273" s="129">
        <f t="shared" si="13"/>
        <v>30558.36</v>
      </c>
      <c r="H273" s="168">
        <f t="shared" si="14"/>
        <v>2449125.84</v>
      </c>
    </row>
    <row r="274" spans="1:8">
      <c r="A274" s="121" t="s">
        <v>252</v>
      </c>
      <c r="B274" s="121" t="s">
        <v>965</v>
      </c>
      <c r="C274" s="122" t="s">
        <v>253</v>
      </c>
      <c r="D274" s="129">
        <v>0</v>
      </c>
      <c r="E274" s="129">
        <f t="shared" si="12"/>
        <v>0</v>
      </c>
      <c r="F274" s="129">
        <v>0</v>
      </c>
      <c r="G274" s="129">
        <f t="shared" si="13"/>
        <v>0</v>
      </c>
      <c r="H274" s="168">
        <f t="shared" si="14"/>
        <v>0</v>
      </c>
    </row>
    <row r="275" spans="1:8">
      <c r="A275" s="121" t="s">
        <v>254</v>
      </c>
      <c r="B275" s="121" t="s">
        <v>969</v>
      </c>
      <c r="C275" s="122" t="s">
        <v>255</v>
      </c>
      <c r="D275" s="129">
        <v>846002</v>
      </c>
      <c r="E275" s="129">
        <f t="shared" si="12"/>
        <v>1050226.8799999999</v>
      </c>
      <c r="F275" s="129">
        <v>14871</v>
      </c>
      <c r="G275" s="129">
        <f t="shared" si="13"/>
        <v>18243.740000000002</v>
      </c>
      <c r="H275" s="168">
        <f t="shared" si="14"/>
        <v>1068470.6199999999</v>
      </c>
    </row>
    <row r="276" spans="1:8">
      <c r="A276" s="121" t="s">
        <v>256</v>
      </c>
      <c r="B276" s="121" t="s">
        <v>966</v>
      </c>
      <c r="C276" s="122" t="s">
        <v>257</v>
      </c>
      <c r="D276" s="129">
        <v>5207</v>
      </c>
      <c r="E276" s="129">
        <f t="shared" si="12"/>
        <v>6463.97</v>
      </c>
      <c r="F276" s="129">
        <v>0</v>
      </c>
      <c r="G276" s="129">
        <f t="shared" si="13"/>
        <v>0</v>
      </c>
      <c r="H276" s="168">
        <f t="shared" si="14"/>
        <v>6463.97</v>
      </c>
    </row>
    <row r="277" spans="1:8">
      <c r="A277" s="121" t="s">
        <v>258</v>
      </c>
      <c r="B277" s="121" t="s">
        <v>965</v>
      </c>
      <c r="C277" s="122" t="s">
        <v>259</v>
      </c>
      <c r="D277" s="129">
        <v>28486</v>
      </c>
      <c r="E277" s="129">
        <f t="shared" si="12"/>
        <v>35362.519999999997</v>
      </c>
      <c r="F277" s="129">
        <v>0</v>
      </c>
      <c r="G277" s="129">
        <f t="shared" si="13"/>
        <v>0</v>
      </c>
      <c r="H277" s="168">
        <f t="shared" si="14"/>
        <v>35362.519999999997</v>
      </c>
    </row>
    <row r="278" spans="1:8">
      <c r="A278" s="121" t="s">
        <v>260</v>
      </c>
      <c r="B278" s="121" t="s">
        <v>971</v>
      </c>
      <c r="C278" s="122" t="s">
        <v>261</v>
      </c>
      <c r="D278" s="129">
        <v>0</v>
      </c>
      <c r="E278" s="129">
        <f t="shared" si="12"/>
        <v>0</v>
      </c>
      <c r="F278" s="129">
        <v>0</v>
      </c>
      <c r="G278" s="129">
        <f t="shared" si="13"/>
        <v>0</v>
      </c>
      <c r="H278" s="168">
        <f t="shared" si="14"/>
        <v>0</v>
      </c>
    </row>
    <row r="279" spans="1:8">
      <c r="A279" s="121" t="s">
        <v>262</v>
      </c>
      <c r="B279" s="121" t="s">
        <v>965</v>
      </c>
      <c r="C279" s="122" t="s">
        <v>263</v>
      </c>
      <c r="D279" s="129">
        <v>48</v>
      </c>
      <c r="E279" s="129">
        <f t="shared" si="12"/>
        <v>59.59</v>
      </c>
      <c r="F279" s="129">
        <v>0</v>
      </c>
      <c r="G279" s="129">
        <f t="shared" si="13"/>
        <v>0</v>
      </c>
      <c r="H279" s="168">
        <f t="shared" si="14"/>
        <v>59.59</v>
      </c>
    </row>
    <row r="280" spans="1:8">
      <c r="A280" s="121" t="s">
        <v>264</v>
      </c>
      <c r="B280" s="121" t="s">
        <v>973</v>
      </c>
      <c r="C280" s="122" t="s">
        <v>265</v>
      </c>
      <c r="D280" s="129">
        <v>17673</v>
      </c>
      <c r="E280" s="129">
        <f t="shared" si="12"/>
        <v>21939.26</v>
      </c>
      <c r="F280" s="129">
        <v>22597</v>
      </c>
      <c r="G280" s="129">
        <f t="shared" si="13"/>
        <v>27722</v>
      </c>
      <c r="H280" s="168">
        <f t="shared" si="14"/>
        <v>49661.259999999995</v>
      </c>
    </row>
    <row r="281" spans="1:8">
      <c r="A281" s="121" t="s">
        <v>266</v>
      </c>
      <c r="B281" s="121" t="s">
        <v>971</v>
      </c>
      <c r="C281" s="122" t="s">
        <v>267</v>
      </c>
      <c r="D281" s="129">
        <v>305576</v>
      </c>
      <c r="E281" s="129">
        <f t="shared" si="12"/>
        <v>379342.05</v>
      </c>
      <c r="F281" s="129">
        <v>30815</v>
      </c>
      <c r="G281" s="129">
        <f t="shared" si="13"/>
        <v>37803.839999999997</v>
      </c>
      <c r="H281" s="168">
        <f t="shared" si="14"/>
        <v>417145.89</v>
      </c>
    </row>
    <row r="282" spans="1:8">
      <c r="A282" s="121" t="s">
        <v>268</v>
      </c>
      <c r="B282" s="121" t="s">
        <v>968</v>
      </c>
      <c r="C282" s="122" t="s">
        <v>184</v>
      </c>
      <c r="D282" s="129">
        <v>3139</v>
      </c>
      <c r="E282" s="129">
        <f t="shared" si="12"/>
        <v>3896.75</v>
      </c>
      <c r="F282" s="129">
        <v>0</v>
      </c>
      <c r="G282" s="129">
        <f t="shared" si="13"/>
        <v>0</v>
      </c>
      <c r="H282" s="168">
        <f t="shared" si="14"/>
        <v>3896.75</v>
      </c>
    </row>
    <row r="283" spans="1:8">
      <c r="A283" s="121" t="s">
        <v>185</v>
      </c>
      <c r="B283" s="121" t="s">
        <v>970</v>
      </c>
      <c r="C283" s="122" t="s">
        <v>186</v>
      </c>
      <c r="D283" s="129">
        <v>0</v>
      </c>
      <c r="E283" s="129">
        <f t="shared" si="12"/>
        <v>0</v>
      </c>
      <c r="F283" s="129">
        <v>0</v>
      </c>
      <c r="G283" s="129">
        <f t="shared" si="13"/>
        <v>0</v>
      </c>
      <c r="H283" s="168">
        <f t="shared" si="14"/>
        <v>0</v>
      </c>
    </row>
    <row r="284" spans="1:8">
      <c r="A284" s="121" t="s">
        <v>187</v>
      </c>
      <c r="B284" s="121" t="s">
        <v>970</v>
      </c>
      <c r="C284" s="122" t="s">
        <v>188</v>
      </c>
      <c r="D284" s="129">
        <v>0</v>
      </c>
      <c r="E284" s="129">
        <f t="shared" si="12"/>
        <v>0</v>
      </c>
      <c r="F284" s="129">
        <v>0</v>
      </c>
      <c r="G284" s="129">
        <f t="shared" si="13"/>
        <v>0</v>
      </c>
      <c r="H284" s="168">
        <f t="shared" si="14"/>
        <v>0</v>
      </c>
    </row>
    <row r="285" spans="1:8">
      <c r="A285" s="121" t="s">
        <v>566</v>
      </c>
      <c r="B285" s="121" t="s">
        <v>969</v>
      </c>
      <c r="C285" s="122" t="s">
        <v>451</v>
      </c>
      <c r="D285" s="129">
        <v>151744</v>
      </c>
      <c r="E285" s="129">
        <f t="shared" si="12"/>
        <v>188375</v>
      </c>
      <c r="F285" s="129">
        <v>0</v>
      </c>
      <c r="G285" s="129">
        <f t="shared" si="13"/>
        <v>0</v>
      </c>
      <c r="H285" s="168">
        <f t="shared" si="14"/>
        <v>188375</v>
      </c>
    </row>
    <row r="286" spans="1:8">
      <c r="A286" s="121" t="s">
        <v>189</v>
      </c>
      <c r="B286" s="121" t="s">
        <v>965</v>
      </c>
      <c r="C286" s="122" t="s">
        <v>190</v>
      </c>
      <c r="D286" s="129">
        <v>498696</v>
      </c>
      <c r="E286" s="129">
        <f t="shared" si="12"/>
        <v>619081.21</v>
      </c>
      <c r="F286" s="129">
        <v>1714</v>
      </c>
      <c r="G286" s="129">
        <f t="shared" si="13"/>
        <v>2102.7399999999998</v>
      </c>
      <c r="H286" s="168">
        <f t="shared" si="14"/>
        <v>621183.94999999995</v>
      </c>
    </row>
    <row r="287" spans="1:8">
      <c r="A287" s="121" t="s">
        <v>191</v>
      </c>
      <c r="B287" s="121" t="s">
        <v>971</v>
      </c>
      <c r="C287" s="122" t="s">
        <v>192</v>
      </c>
      <c r="D287" s="129">
        <v>29722</v>
      </c>
      <c r="E287" s="129">
        <f t="shared" si="12"/>
        <v>36896.89</v>
      </c>
      <c r="F287" s="129">
        <v>0</v>
      </c>
      <c r="G287" s="129">
        <f t="shared" si="13"/>
        <v>0</v>
      </c>
      <c r="H287" s="168">
        <f t="shared" si="14"/>
        <v>36896.89</v>
      </c>
    </row>
    <row r="288" spans="1:8">
      <c r="A288" s="121" t="s">
        <v>193</v>
      </c>
      <c r="B288" s="121" t="s">
        <v>969</v>
      </c>
      <c r="C288" s="122" t="s">
        <v>277</v>
      </c>
      <c r="D288" s="129">
        <v>538698</v>
      </c>
      <c r="E288" s="129">
        <f t="shared" si="12"/>
        <v>668739.69999999995</v>
      </c>
      <c r="F288" s="129">
        <v>2931</v>
      </c>
      <c r="G288" s="129">
        <f t="shared" si="13"/>
        <v>3595.75</v>
      </c>
      <c r="H288" s="168">
        <f t="shared" si="14"/>
        <v>672335.45</v>
      </c>
    </row>
    <row r="289" spans="1:8">
      <c r="A289" s="121" t="s">
        <v>278</v>
      </c>
      <c r="B289" s="121" t="s">
        <v>966</v>
      </c>
      <c r="C289" s="122" t="s">
        <v>279</v>
      </c>
      <c r="D289" s="129">
        <v>0</v>
      </c>
      <c r="E289" s="129">
        <f t="shared" si="12"/>
        <v>0</v>
      </c>
      <c r="F289" s="129">
        <v>0</v>
      </c>
      <c r="G289" s="129">
        <f t="shared" si="13"/>
        <v>0</v>
      </c>
      <c r="H289" s="168">
        <f t="shared" si="14"/>
        <v>0</v>
      </c>
    </row>
    <row r="290" spans="1:8">
      <c r="A290" s="121" t="s">
        <v>280</v>
      </c>
      <c r="B290" s="121" t="s">
        <v>970</v>
      </c>
      <c r="C290" s="122" t="s">
        <v>500</v>
      </c>
      <c r="D290" s="129">
        <v>2189615</v>
      </c>
      <c r="E290" s="129">
        <f t="shared" si="12"/>
        <v>2718188.06</v>
      </c>
      <c r="F290" s="129">
        <v>126200</v>
      </c>
      <c r="G290" s="129">
        <f t="shared" si="13"/>
        <v>154822.16</v>
      </c>
      <c r="H290" s="168">
        <f t="shared" si="14"/>
        <v>2873010.22</v>
      </c>
    </row>
    <row r="291" spans="1:8">
      <c r="A291" s="121" t="s">
        <v>501</v>
      </c>
      <c r="B291" s="121" t="s">
        <v>969</v>
      </c>
      <c r="C291" s="122" t="s">
        <v>502</v>
      </c>
      <c r="D291" s="129">
        <v>92279</v>
      </c>
      <c r="E291" s="129">
        <f t="shared" si="12"/>
        <v>114555.15</v>
      </c>
      <c r="F291" s="129">
        <v>18079</v>
      </c>
      <c r="G291" s="129">
        <f t="shared" si="13"/>
        <v>22179.32</v>
      </c>
      <c r="H291" s="168">
        <f t="shared" si="14"/>
        <v>136734.47</v>
      </c>
    </row>
    <row r="292" spans="1:8">
      <c r="A292" s="121" t="s">
        <v>957</v>
      </c>
      <c r="B292" s="121">
        <v>114</v>
      </c>
      <c r="C292" s="122" t="s">
        <v>1041</v>
      </c>
      <c r="D292" s="129">
        <v>3000</v>
      </c>
      <c r="E292" s="129">
        <f t="shared" si="12"/>
        <v>3724.2</v>
      </c>
      <c r="F292" s="129">
        <v>0</v>
      </c>
      <c r="G292" s="129">
        <f t="shared" si="13"/>
        <v>0</v>
      </c>
      <c r="H292" s="168">
        <f t="shared" si="14"/>
        <v>3724.2</v>
      </c>
    </row>
    <row r="293" spans="1:8">
      <c r="A293" s="121" t="s">
        <v>503</v>
      </c>
      <c r="B293" s="121" t="s">
        <v>970</v>
      </c>
      <c r="C293" s="122" t="s">
        <v>504</v>
      </c>
      <c r="D293" s="129">
        <v>0</v>
      </c>
      <c r="E293" s="129">
        <f t="shared" si="12"/>
        <v>0</v>
      </c>
      <c r="F293" s="129">
        <v>0</v>
      </c>
      <c r="G293" s="129">
        <f t="shared" si="13"/>
        <v>0</v>
      </c>
      <c r="H293" s="168">
        <f t="shared" si="14"/>
        <v>0</v>
      </c>
    </row>
    <row r="294" spans="1:8">
      <c r="A294" s="121" t="s">
        <v>505</v>
      </c>
      <c r="B294" s="121">
        <v>105</v>
      </c>
      <c r="C294" s="122" t="s">
        <v>506</v>
      </c>
      <c r="D294" s="129">
        <v>90966</v>
      </c>
      <c r="E294" s="129">
        <f t="shared" si="12"/>
        <v>112925.19</v>
      </c>
      <c r="F294" s="129">
        <v>0</v>
      </c>
      <c r="G294" s="129">
        <f t="shared" si="13"/>
        <v>0</v>
      </c>
      <c r="H294" s="168">
        <f t="shared" si="14"/>
        <v>112925.19</v>
      </c>
    </row>
    <row r="295" spans="1:8">
      <c r="A295" s="121" t="s">
        <v>507</v>
      </c>
      <c r="B295" s="121">
        <v>123</v>
      </c>
      <c r="C295" s="122" t="s">
        <v>508</v>
      </c>
      <c r="D295" s="129">
        <v>3358</v>
      </c>
      <c r="E295" s="129">
        <f t="shared" si="12"/>
        <v>4168.62</v>
      </c>
      <c r="F295" s="129">
        <v>0</v>
      </c>
      <c r="G295" s="129">
        <f t="shared" si="13"/>
        <v>0</v>
      </c>
      <c r="H295" s="168">
        <f t="shared" si="14"/>
        <v>4168.62</v>
      </c>
    </row>
    <row r="296" spans="1:8">
      <c r="A296" s="121" t="s">
        <v>509</v>
      </c>
      <c r="B296" s="121">
        <v>123</v>
      </c>
      <c r="C296" s="122" t="s">
        <v>510</v>
      </c>
      <c r="D296" s="129">
        <v>98597</v>
      </c>
      <c r="E296" s="129">
        <f t="shared" si="12"/>
        <v>122398.32</v>
      </c>
      <c r="F296" s="129">
        <v>43124</v>
      </c>
      <c r="G296" s="129">
        <f t="shared" si="13"/>
        <v>52904.52</v>
      </c>
      <c r="H296" s="168">
        <f t="shared" si="14"/>
        <v>175302.84</v>
      </c>
    </row>
    <row r="297" spans="1:8">
      <c r="A297" s="121" t="s">
        <v>511</v>
      </c>
      <c r="B297" s="121">
        <v>105</v>
      </c>
      <c r="C297" s="122" t="s">
        <v>31</v>
      </c>
      <c r="D297" s="129">
        <v>510</v>
      </c>
      <c r="E297" s="129">
        <f t="shared" si="12"/>
        <v>633.11</v>
      </c>
      <c r="F297" s="129">
        <v>452</v>
      </c>
      <c r="G297" s="129">
        <f t="shared" si="13"/>
        <v>554.51</v>
      </c>
      <c r="H297" s="168">
        <f t="shared" si="14"/>
        <v>1187.6199999999999</v>
      </c>
    </row>
    <row r="298" spans="1:8">
      <c r="A298" s="121" t="s">
        <v>32</v>
      </c>
      <c r="B298" s="121">
        <v>171</v>
      </c>
      <c r="C298" s="122" t="s">
        <v>33</v>
      </c>
      <c r="D298" s="129">
        <v>18803</v>
      </c>
      <c r="E298" s="129">
        <f t="shared" si="12"/>
        <v>23342.04</v>
      </c>
      <c r="F298" s="129">
        <v>0</v>
      </c>
      <c r="G298" s="129">
        <f t="shared" si="13"/>
        <v>0</v>
      </c>
      <c r="H298" s="168">
        <f t="shared" si="14"/>
        <v>23342.04</v>
      </c>
    </row>
    <row r="299" spans="1:8">
      <c r="A299" s="121" t="s">
        <v>34</v>
      </c>
      <c r="B299" s="121">
        <v>112</v>
      </c>
      <c r="C299" s="122" t="s">
        <v>35</v>
      </c>
      <c r="D299" s="129">
        <v>224475</v>
      </c>
      <c r="E299" s="129">
        <f t="shared" si="12"/>
        <v>278663.27</v>
      </c>
      <c r="F299" s="129">
        <v>0</v>
      </c>
      <c r="G299" s="129">
        <f t="shared" si="13"/>
        <v>0</v>
      </c>
      <c r="H299" s="168">
        <f t="shared" si="14"/>
        <v>278663.27</v>
      </c>
    </row>
    <row r="300" spans="1:8">
      <c r="A300" s="121" t="s">
        <v>36</v>
      </c>
      <c r="B300" s="121">
        <v>101</v>
      </c>
      <c r="C300" s="122" t="s">
        <v>519</v>
      </c>
      <c r="D300" s="129">
        <v>0</v>
      </c>
      <c r="E300" s="129">
        <f t="shared" si="12"/>
        <v>0</v>
      </c>
      <c r="F300" s="129">
        <v>0</v>
      </c>
      <c r="G300" s="129">
        <f t="shared" si="13"/>
        <v>0</v>
      </c>
      <c r="H300" s="168">
        <f t="shared" si="14"/>
        <v>0</v>
      </c>
    </row>
    <row r="301" spans="1:8">
      <c r="A301" s="121" t="s">
        <v>520</v>
      </c>
      <c r="B301" s="121">
        <v>171</v>
      </c>
      <c r="C301" s="122" t="s">
        <v>521</v>
      </c>
      <c r="D301" s="129">
        <v>0</v>
      </c>
      <c r="E301" s="129">
        <f t="shared" si="12"/>
        <v>0</v>
      </c>
      <c r="F301" s="129">
        <v>0</v>
      </c>
      <c r="G301" s="129">
        <f t="shared" si="13"/>
        <v>0</v>
      </c>
      <c r="H301" s="168">
        <f t="shared" si="14"/>
        <v>0</v>
      </c>
    </row>
    <row r="302" spans="1:8">
      <c r="A302" s="121" t="s">
        <v>522</v>
      </c>
      <c r="B302" s="121" t="s">
        <v>966</v>
      </c>
      <c r="C302" s="122" t="s">
        <v>484</v>
      </c>
      <c r="D302" s="129">
        <v>31998</v>
      </c>
      <c r="E302" s="129">
        <f t="shared" si="12"/>
        <v>39722.32</v>
      </c>
      <c r="F302" s="129">
        <v>9000</v>
      </c>
      <c r="G302" s="129">
        <f t="shared" si="13"/>
        <v>11041.2</v>
      </c>
      <c r="H302" s="168">
        <f t="shared" si="14"/>
        <v>50763.520000000004</v>
      </c>
    </row>
    <row r="303" spans="1:8">
      <c r="A303" s="121" t="s">
        <v>485</v>
      </c>
      <c r="B303" s="121" t="s">
        <v>973</v>
      </c>
      <c r="C303" s="122" t="s">
        <v>297</v>
      </c>
      <c r="D303" s="129">
        <v>274106</v>
      </c>
      <c r="E303" s="129">
        <f t="shared" si="12"/>
        <v>340275.19</v>
      </c>
      <c r="F303" s="129">
        <v>64543</v>
      </c>
      <c r="G303" s="129">
        <f t="shared" si="13"/>
        <v>79181.350000000006</v>
      </c>
      <c r="H303" s="168">
        <f t="shared" si="14"/>
        <v>419456.54000000004</v>
      </c>
    </row>
    <row r="304" spans="1:8">
      <c r="A304" s="121" t="s">
        <v>299</v>
      </c>
      <c r="B304" s="121">
        <v>105</v>
      </c>
      <c r="C304" s="122" t="s">
        <v>1042</v>
      </c>
      <c r="D304" s="129">
        <v>272274</v>
      </c>
      <c r="E304" s="129">
        <f t="shared" si="12"/>
        <v>338000.94</v>
      </c>
      <c r="F304" s="129">
        <v>10040</v>
      </c>
      <c r="G304" s="129">
        <f t="shared" si="13"/>
        <v>12317.07</v>
      </c>
      <c r="H304" s="168">
        <f t="shared" si="14"/>
        <v>350318.01</v>
      </c>
    </row>
    <row r="305" spans="1:8">
      <c r="A305" s="121" t="s">
        <v>298</v>
      </c>
      <c r="B305" s="121">
        <v>101</v>
      </c>
      <c r="C305" s="122" t="s">
        <v>1043</v>
      </c>
      <c r="D305" s="129">
        <v>20108</v>
      </c>
      <c r="E305" s="129">
        <f t="shared" si="12"/>
        <v>24962.07</v>
      </c>
      <c r="F305" s="129">
        <v>0</v>
      </c>
      <c r="G305" s="129">
        <f t="shared" si="13"/>
        <v>0</v>
      </c>
      <c r="H305" s="168">
        <f t="shared" si="14"/>
        <v>24962.07</v>
      </c>
    </row>
    <row r="306" spans="1:8">
      <c r="A306" s="121" t="s">
        <v>300</v>
      </c>
      <c r="B306" s="121">
        <v>113</v>
      </c>
      <c r="C306" s="122" t="s">
        <v>301</v>
      </c>
      <c r="D306" s="129">
        <v>3521</v>
      </c>
      <c r="E306" s="129">
        <f t="shared" si="12"/>
        <v>4370.97</v>
      </c>
      <c r="F306" s="129">
        <v>0</v>
      </c>
      <c r="G306" s="129">
        <f t="shared" si="13"/>
        <v>0</v>
      </c>
      <c r="H306" s="168">
        <f t="shared" si="14"/>
        <v>4370.97</v>
      </c>
    </row>
    <row r="307" spans="1:8">
      <c r="A307" s="121" t="s">
        <v>302</v>
      </c>
      <c r="B307" s="121">
        <v>121</v>
      </c>
      <c r="C307" s="122" t="s">
        <v>303</v>
      </c>
      <c r="D307" s="129">
        <v>277742</v>
      </c>
      <c r="E307" s="129">
        <f t="shared" si="12"/>
        <v>344788.92</v>
      </c>
      <c r="F307" s="129">
        <v>1605</v>
      </c>
      <c r="G307" s="129">
        <f t="shared" si="13"/>
        <v>1969.01</v>
      </c>
      <c r="H307" s="168">
        <f t="shared" si="14"/>
        <v>346757.93</v>
      </c>
    </row>
    <row r="308" spans="1:8">
      <c r="A308" s="121" t="s">
        <v>304</v>
      </c>
      <c r="B308" s="121">
        <v>112</v>
      </c>
      <c r="C308" s="122" t="s">
        <v>305</v>
      </c>
      <c r="D308" s="129">
        <v>0</v>
      </c>
      <c r="E308" s="129">
        <f t="shared" si="12"/>
        <v>0</v>
      </c>
      <c r="F308" s="129">
        <v>0</v>
      </c>
      <c r="G308" s="129">
        <f t="shared" si="13"/>
        <v>0</v>
      </c>
      <c r="H308" s="168">
        <f t="shared" si="14"/>
        <v>0</v>
      </c>
    </row>
    <row r="309" spans="1:8">
      <c r="A309" s="121" t="s">
        <v>306</v>
      </c>
      <c r="B309" s="121">
        <v>101</v>
      </c>
      <c r="C309" s="122" t="s">
        <v>307</v>
      </c>
      <c r="D309" s="129">
        <v>5478</v>
      </c>
      <c r="E309" s="129">
        <f t="shared" si="12"/>
        <v>6800.39</v>
      </c>
      <c r="F309" s="129">
        <v>5000</v>
      </c>
      <c r="G309" s="129">
        <f t="shared" si="13"/>
        <v>6134</v>
      </c>
      <c r="H309" s="168">
        <f t="shared" si="14"/>
        <v>12934.39</v>
      </c>
    </row>
    <row r="310" spans="1:8">
      <c r="A310" s="121" t="s">
        <v>308</v>
      </c>
      <c r="B310" s="121">
        <v>113</v>
      </c>
      <c r="C310" s="122" t="s">
        <v>309</v>
      </c>
      <c r="D310" s="129">
        <v>0</v>
      </c>
      <c r="E310" s="129">
        <f t="shared" si="12"/>
        <v>0</v>
      </c>
      <c r="F310" s="129">
        <v>0</v>
      </c>
      <c r="G310" s="129">
        <f t="shared" si="13"/>
        <v>0</v>
      </c>
      <c r="H310" s="168">
        <f t="shared" si="14"/>
        <v>0</v>
      </c>
    </row>
    <row r="311" spans="1:8">
      <c r="A311" s="121" t="s">
        <v>958</v>
      </c>
      <c r="B311" s="121">
        <v>123</v>
      </c>
      <c r="C311" s="122" t="s">
        <v>1044</v>
      </c>
      <c r="D311" s="129">
        <v>0</v>
      </c>
      <c r="E311" s="129">
        <f t="shared" si="12"/>
        <v>0</v>
      </c>
      <c r="F311" s="129">
        <v>0</v>
      </c>
      <c r="G311" s="129">
        <f t="shared" si="13"/>
        <v>0</v>
      </c>
      <c r="H311" s="168">
        <f t="shared" si="14"/>
        <v>0</v>
      </c>
    </row>
    <row r="312" spans="1:8">
      <c r="A312" s="121" t="s">
        <v>310</v>
      </c>
      <c r="B312" s="121">
        <v>171</v>
      </c>
      <c r="C312" s="122" t="s">
        <v>311</v>
      </c>
      <c r="D312" s="129">
        <v>17237</v>
      </c>
      <c r="E312" s="129">
        <f t="shared" si="12"/>
        <v>21398.01</v>
      </c>
      <c r="F312" s="129">
        <v>0</v>
      </c>
      <c r="G312" s="129">
        <f t="shared" si="13"/>
        <v>0</v>
      </c>
      <c r="H312" s="168">
        <f t="shared" si="14"/>
        <v>21398.01</v>
      </c>
    </row>
    <row r="313" spans="1:8">
      <c r="A313" s="121" t="s">
        <v>312</v>
      </c>
      <c r="B313" s="121">
        <v>113</v>
      </c>
      <c r="C313" s="122" t="s">
        <v>172</v>
      </c>
      <c r="D313" s="129">
        <v>0</v>
      </c>
      <c r="E313" s="129">
        <f t="shared" si="12"/>
        <v>0</v>
      </c>
      <c r="F313" s="129">
        <v>0</v>
      </c>
      <c r="G313" s="129">
        <f t="shared" si="13"/>
        <v>0</v>
      </c>
      <c r="H313" s="168">
        <f t="shared" si="14"/>
        <v>0</v>
      </c>
    </row>
    <row r="314" spans="1:8">
      <c r="A314" s="121" t="s">
        <v>173</v>
      </c>
      <c r="B314" s="121">
        <v>113</v>
      </c>
      <c r="C314" s="122" t="s">
        <v>174</v>
      </c>
      <c r="D314" s="129">
        <v>1236</v>
      </c>
      <c r="E314" s="129">
        <f t="shared" si="12"/>
        <v>1534.37</v>
      </c>
      <c r="F314" s="129">
        <v>0</v>
      </c>
      <c r="G314" s="129">
        <f t="shared" si="13"/>
        <v>0</v>
      </c>
      <c r="H314" s="168">
        <f t="shared" si="14"/>
        <v>1534.37</v>
      </c>
    </row>
    <row r="315" spans="1:8">
      <c r="A315" s="121" t="s">
        <v>175</v>
      </c>
      <c r="B315" s="121">
        <v>112</v>
      </c>
      <c r="C315" s="122" t="s">
        <v>176</v>
      </c>
      <c r="D315" s="129">
        <v>0</v>
      </c>
      <c r="E315" s="129">
        <f t="shared" si="12"/>
        <v>0</v>
      </c>
      <c r="F315" s="129">
        <v>0</v>
      </c>
      <c r="G315" s="129">
        <f t="shared" si="13"/>
        <v>0</v>
      </c>
      <c r="H315" s="168">
        <f t="shared" si="14"/>
        <v>0</v>
      </c>
    </row>
    <row r="316" spans="1:8">
      <c r="A316" s="121" t="s">
        <v>177</v>
      </c>
      <c r="B316" s="121">
        <v>112</v>
      </c>
      <c r="C316" s="122" t="s">
        <v>178</v>
      </c>
      <c r="D316" s="129">
        <v>12642</v>
      </c>
      <c r="E316" s="129">
        <f t="shared" si="12"/>
        <v>15693.78</v>
      </c>
      <c r="F316" s="129">
        <v>0</v>
      </c>
      <c r="G316" s="129">
        <f t="shared" si="13"/>
        <v>0</v>
      </c>
      <c r="H316" s="168">
        <f t="shared" si="14"/>
        <v>15693.78</v>
      </c>
    </row>
    <row r="317" spans="1:8">
      <c r="A317" s="121" t="s">
        <v>179</v>
      </c>
      <c r="B317" s="121">
        <v>105</v>
      </c>
      <c r="C317" s="122" t="s">
        <v>180</v>
      </c>
      <c r="D317" s="129">
        <v>1114640</v>
      </c>
      <c r="E317" s="129">
        <f t="shared" si="12"/>
        <v>1383714.1</v>
      </c>
      <c r="F317" s="129">
        <v>419774</v>
      </c>
      <c r="G317" s="129">
        <f t="shared" si="13"/>
        <v>514978.74</v>
      </c>
      <c r="H317" s="168">
        <f t="shared" si="14"/>
        <v>1898692.84</v>
      </c>
    </row>
    <row r="318" spans="1:8">
      <c r="A318" s="123" t="s">
        <v>1045</v>
      </c>
      <c r="B318" s="121">
        <v>105</v>
      </c>
      <c r="C318" s="122" t="s">
        <v>1046</v>
      </c>
      <c r="D318" s="129">
        <v>0</v>
      </c>
      <c r="E318" s="129">
        <f t="shared" si="12"/>
        <v>0</v>
      </c>
      <c r="F318" s="129">
        <v>0</v>
      </c>
      <c r="G318" s="129">
        <f t="shared" si="13"/>
        <v>0</v>
      </c>
      <c r="H318" s="168">
        <f t="shared" si="14"/>
        <v>0</v>
      </c>
    </row>
    <row r="319" spans="1:8">
      <c r="A319" s="121" t="s">
        <v>181</v>
      </c>
      <c r="B319" s="121">
        <v>113</v>
      </c>
      <c r="C319" s="122" t="s">
        <v>314</v>
      </c>
      <c r="D319" s="129">
        <v>314023</v>
      </c>
      <c r="E319" s="129">
        <f t="shared" si="12"/>
        <v>389828.15</v>
      </c>
      <c r="F319" s="129">
        <v>30184</v>
      </c>
      <c r="G319" s="129">
        <f t="shared" si="13"/>
        <v>37029.730000000003</v>
      </c>
      <c r="H319" s="168">
        <f t="shared" si="14"/>
        <v>426857.88</v>
      </c>
    </row>
    <row r="320" spans="1:8">
      <c r="A320" s="121" t="s">
        <v>407</v>
      </c>
      <c r="B320" s="121" t="s">
        <v>971</v>
      </c>
      <c r="C320" s="122" t="s">
        <v>408</v>
      </c>
      <c r="D320" s="129">
        <v>22623</v>
      </c>
      <c r="E320" s="129">
        <f t="shared" si="12"/>
        <v>28084.19</v>
      </c>
      <c r="F320" s="129">
        <v>0</v>
      </c>
      <c r="G320" s="129">
        <f t="shared" si="13"/>
        <v>0</v>
      </c>
      <c r="H320" s="168">
        <f t="shared" si="14"/>
        <v>28084.19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B0A9E-BFFE-464A-B580-FF6B3B6E4AC5}">
  <sheetPr>
    <tabColor rgb="FF92D050"/>
  </sheetPr>
  <dimension ref="A1:I296"/>
  <sheetViews>
    <sheetView topLeftCell="A280" workbookViewId="0">
      <selection activeCell="C15" sqref="C15"/>
    </sheetView>
  </sheetViews>
  <sheetFormatPr defaultRowHeight="16.5"/>
  <cols>
    <col min="1" max="1" width="9.140625" style="116"/>
    <col min="2" max="2" width="33.140625" style="116" bestFit="1" customWidth="1"/>
    <col min="3" max="3" width="11.140625" style="116" bestFit="1" customWidth="1"/>
    <col min="4" max="4" width="13.7109375" style="116" customWidth="1"/>
    <col min="5" max="5" width="12.7109375" style="116" customWidth="1"/>
    <col min="6" max="6" width="11.85546875" style="116" customWidth="1"/>
    <col min="7" max="7" width="13.5703125" style="157" customWidth="1"/>
    <col min="9" max="9" width="41.5703125" bestFit="1" customWidth="1"/>
  </cols>
  <sheetData>
    <row r="1" spans="1:9" ht="33">
      <c r="A1" s="124" t="s">
        <v>867</v>
      </c>
      <c r="B1" s="124" t="s">
        <v>1344</v>
      </c>
      <c r="C1" s="126" t="s">
        <v>1345</v>
      </c>
      <c r="D1" s="126" t="s">
        <v>1346</v>
      </c>
      <c r="E1" s="126" t="s">
        <v>1347</v>
      </c>
      <c r="F1" s="116" t="s">
        <v>1343</v>
      </c>
      <c r="G1" s="159"/>
      <c r="H1" s="116" t="s">
        <v>943</v>
      </c>
      <c r="I1" s="158" t="s">
        <v>1565</v>
      </c>
    </row>
    <row r="2" spans="1:9">
      <c r="A2" s="116" t="s">
        <v>941</v>
      </c>
      <c r="B2" s="116" t="s">
        <v>869</v>
      </c>
      <c r="C2" s="125">
        <v>99.12</v>
      </c>
      <c r="D2" s="125">
        <v>1202.67</v>
      </c>
      <c r="E2" s="125">
        <v>486.33</v>
      </c>
      <c r="F2" s="116">
        <f>C2+D2+E2</f>
        <v>1788.12</v>
      </c>
      <c r="I2" s="116" t="s">
        <v>1566</v>
      </c>
    </row>
    <row r="3" spans="1:9">
      <c r="A3" s="116" t="s">
        <v>36</v>
      </c>
      <c r="B3" s="116" t="s">
        <v>1053</v>
      </c>
      <c r="C3" s="125">
        <v>1</v>
      </c>
      <c r="D3" s="125">
        <v>8.2200000000000006</v>
      </c>
      <c r="E3" s="125">
        <v>0</v>
      </c>
      <c r="F3" s="116">
        <f t="shared" ref="F3:F66" si="0">C3+D3+E3</f>
        <v>9.2200000000000006</v>
      </c>
      <c r="I3" s="116" t="s">
        <v>1775</v>
      </c>
    </row>
    <row r="4" spans="1:9">
      <c r="A4" s="116" t="s">
        <v>199</v>
      </c>
      <c r="B4" s="116" t="s">
        <v>1054</v>
      </c>
      <c r="C4" s="125">
        <v>0</v>
      </c>
      <c r="D4" s="125">
        <v>0</v>
      </c>
      <c r="E4" s="125">
        <v>0</v>
      </c>
      <c r="F4" s="116">
        <f t="shared" si="0"/>
        <v>0</v>
      </c>
      <c r="I4" s="158" t="s">
        <v>1776</v>
      </c>
    </row>
    <row r="5" spans="1:9">
      <c r="A5" s="116" t="s">
        <v>167</v>
      </c>
      <c r="B5" s="116" t="s">
        <v>1055</v>
      </c>
      <c r="C5" s="125">
        <v>59.44</v>
      </c>
      <c r="D5" s="125">
        <v>390.44</v>
      </c>
      <c r="E5" s="125">
        <v>175</v>
      </c>
      <c r="F5" s="116">
        <f t="shared" si="0"/>
        <v>624.88</v>
      </c>
    </row>
    <row r="6" spans="1:9">
      <c r="A6" s="116" t="s">
        <v>464</v>
      </c>
      <c r="B6" s="116" t="s">
        <v>1056</v>
      </c>
      <c r="C6" s="125">
        <v>3</v>
      </c>
      <c r="D6" s="125">
        <v>20</v>
      </c>
      <c r="E6" s="125">
        <v>2.44</v>
      </c>
      <c r="F6" s="116">
        <f t="shared" si="0"/>
        <v>25.44</v>
      </c>
    </row>
    <row r="7" spans="1:9">
      <c r="A7" s="116" t="s">
        <v>378</v>
      </c>
      <c r="B7" s="116" t="s">
        <v>1057</v>
      </c>
      <c r="C7" s="125">
        <v>1.67</v>
      </c>
      <c r="D7" s="125">
        <v>22.11</v>
      </c>
      <c r="E7" s="125">
        <v>4.78</v>
      </c>
      <c r="F7" s="116">
        <f t="shared" si="0"/>
        <v>28.560000000000002</v>
      </c>
    </row>
    <row r="8" spans="1:9">
      <c r="A8" s="116" t="s">
        <v>21</v>
      </c>
      <c r="B8" s="116" t="s">
        <v>1058</v>
      </c>
      <c r="C8" s="125">
        <v>30.44</v>
      </c>
      <c r="D8" s="125">
        <v>264.89</v>
      </c>
      <c r="E8" s="125">
        <v>134.11000000000001</v>
      </c>
      <c r="F8" s="116">
        <f t="shared" si="0"/>
        <v>429.44</v>
      </c>
    </row>
    <row r="9" spans="1:9">
      <c r="A9" s="116" t="s">
        <v>473</v>
      </c>
      <c r="B9" s="116" t="s">
        <v>1059</v>
      </c>
      <c r="C9" s="125">
        <v>3.44</v>
      </c>
      <c r="D9" s="125">
        <v>45.44</v>
      </c>
      <c r="E9" s="125">
        <v>37.11</v>
      </c>
      <c r="F9" s="116">
        <f t="shared" si="0"/>
        <v>85.99</v>
      </c>
    </row>
    <row r="10" spans="1:9">
      <c r="A10" s="116" t="s">
        <v>458</v>
      </c>
      <c r="B10" s="116" t="s">
        <v>1060</v>
      </c>
      <c r="C10" s="125">
        <v>215.44</v>
      </c>
      <c r="D10" s="125">
        <v>1090.22</v>
      </c>
      <c r="E10" s="125">
        <v>1124.67</v>
      </c>
      <c r="F10" s="116">
        <f t="shared" si="0"/>
        <v>2430.33</v>
      </c>
    </row>
    <row r="11" spans="1:9">
      <c r="A11" s="116" t="s">
        <v>391</v>
      </c>
      <c r="B11" s="116" t="s">
        <v>1061</v>
      </c>
      <c r="C11" s="125">
        <v>1</v>
      </c>
      <c r="D11" s="125">
        <v>22.33</v>
      </c>
      <c r="E11" s="125">
        <v>0</v>
      </c>
      <c r="F11" s="116">
        <f t="shared" si="0"/>
        <v>23.33</v>
      </c>
    </row>
    <row r="12" spans="1:9">
      <c r="A12" s="116" t="s">
        <v>481</v>
      </c>
      <c r="B12" s="116" t="s">
        <v>1062</v>
      </c>
      <c r="C12" s="125">
        <v>9.33</v>
      </c>
      <c r="D12" s="125">
        <v>129.88999999999999</v>
      </c>
      <c r="E12" s="125">
        <v>51.11</v>
      </c>
      <c r="F12" s="116">
        <f t="shared" si="0"/>
        <v>190.32999999999998</v>
      </c>
    </row>
    <row r="13" spans="1:9">
      <c r="A13" s="116" t="s">
        <v>424</v>
      </c>
      <c r="B13" s="116" t="s">
        <v>1063</v>
      </c>
      <c r="C13" s="125">
        <v>13</v>
      </c>
      <c r="D13" s="125">
        <v>65.67</v>
      </c>
      <c r="E13" s="125">
        <v>39.11</v>
      </c>
      <c r="F13" s="116">
        <f t="shared" si="0"/>
        <v>117.78</v>
      </c>
    </row>
    <row r="14" spans="1:9">
      <c r="A14" s="116" t="s">
        <v>348</v>
      </c>
      <c r="B14" s="116" t="s">
        <v>1064</v>
      </c>
      <c r="C14" s="125">
        <v>14</v>
      </c>
      <c r="D14" s="125">
        <v>138.66999999999999</v>
      </c>
      <c r="E14" s="125">
        <v>177.67</v>
      </c>
      <c r="F14" s="116">
        <f t="shared" si="0"/>
        <v>330.34</v>
      </c>
    </row>
    <row r="15" spans="1:9">
      <c r="A15" s="116" t="s">
        <v>374</v>
      </c>
      <c r="B15" s="116" t="s">
        <v>1065</v>
      </c>
      <c r="C15" s="125">
        <v>148</v>
      </c>
      <c r="D15" s="125">
        <v>1028.8900000000001</v>
      </c>
      <c r="E15" s="125">
        <v>614.11</v>
      </c>
      <c r="F15" s="116">
        <f t="shared" si="0"/>
        <v>1791</v>
      </c>
    </row>
    <row r="16" spans="1:9">
      <c r="A16" s="116" t="s">
        <v>494</v>
      </c>
      <c r="B16" s="116" t="s">
        <v>1066</v>
      </c>
      <c r="C16" s="125">
        <v>4.5599999999999996</v>
      </c>
      <c r="D16" s="125">
        <v>61.44</v>
      </c>
      <c r="E16" s="125">
        <v>13.22</v>
      </c>
      <c r="F16" s="116">
        <f t="shared" si="0"/>
        <v>79.22</v>
      </c>
    </row>
    <row r="17" spans="1:6">
      <c r="A17" s="116" t="s">
        <v>63</v>
      </c>
      <c r="B17" s="116" t="s">
        <v>1067</v>
      </c>
      <c r="C17" s="125">
        <v>0</v>
      </c>
      <c r="D17" s="125">
        <v>0</v>
      </c>
      <c r="E17" s="125">
        <v>0</v>
      </c>
      <c r="F17" s="116">
        <f t="shared" si="0"/>
        <v>0</v>
      </c>
    </row>
    <row r="18" spans="1:6">
      <c r="A18" s="116" t="s">
        <v>413</v>
      </c>
      <c r="B18" s="116" t="s">
        <v>1068</v>
      </c>
      <c r="C18" s="125">
        <v>3.22</v>
      </c>
      <c r="D18" s="125">
        <v>29.44</v>
      </c>
      <c r="E18" s="125">
        <v>5</v>
      </c>
      <c r="F18" s="116">
        <f t="shared" si="0"/>
        <v>37.660000000000004</v>
      </c>
    </row>
    <row r="19" spans="1:6">
      <c r="A19" s="116" t="s">
        <v>124</v>
      </c>
      <c r="B19" s="116" t="s">
        <v>1069</v>
      </c>
      <c r="C19" s="125">
        <v>5.22</v>
      </c>
      <c r="D19" s="125">
        <v>107.89</v>
      </c>
      <c r="E19" s="125">
        <v>19.440000000000001</v>
      </c>
      <c r="F19" s="116">
        <f t="shared" si="0"/>
        <v>132.55000000000001</v>
      </c>
    </row>
    <row r="20" spans="1:6">
      <c r="A20" s="116" t="s">
        <v>153</v>
      </c>
      <c r="B20" s="116" t="s">
        <v>1070</v>
      </c>
      <c r="C20" s="125">
        <v>21.11</v>
      </c>
      <c r="D20" s="125">
        <v>156.78</v>
      </c>
      <c r="E20" s="125">
        <v>25.56</v>
      </c>
      <c r="F20" s="116">
        <f t="shared" si="0"/>
        <v>203.45</v>
      </c>
    </row>
    <row r="21" spans="1:6">
      <c r="A21" s="116" t="s">
        <v>151</v>
      </c>
      <c r="B21" s="116" t="s">
        <v>1071</v>
      </c>
      <c r="C21" s="125">
        <v>3.78</v>
      </c>
      <c r="D21" s="125">
        <v>71</v>
      </c>
      <c r="E21" s="125">
        <v>40.11</v>
      </c>
      <c r="F21" s="116">
        <f t="shared" si="0"/>
        <v>114.89</v>
      </c>
    </row>
    <row r="22" spans="1:6">
      <c r="A22" s="116" t="s">
        <v>485</v>
      </c>
      <c r="B22" s="116" t="s">
        <v>1072</v>
      </c>
      <c r="C22" s="125">
        <v>94.56</v>
      </c>
      <c r="D22" s="125">
        <v>759.44</v>
      </c>
      <c r="E22" s="125">
        <v>194.56</v>
      </c>
      <c r="F22" s="116">
        <f t="shared" si="0"/>
        <v>1048.56</v>
      </c>
    </row>
    <row r="23" spans="1:6">
      <c r="A23" s="116" t="s">
        <v>1515</v>
      </c>
      <c r="B23" s="116" t="s">
        <v>1567</v>
      </c>
      <c r="C23" s="125">
        <v>0</v>
      </c>
      <c r="D23" s="125">
        <v>10.67</v>
      </c>
      <c r="E23" s="125">
        <v>1.33</v>
      </c>
      <c r="F23" s="116">
        <f t="shared" si="0"/>
        <v>12</v>
      </c>
    </row>
    <row r="24" spans="1:6">
      <c r="A24" s="116" t="s">
        <v>401</v>
      </c>
      <c r="B24" s="116" t="s">
        <v>1073</v>
      </c>
      <c r="C24" s="125">
        <v>23.78</v>
      </c>
      <c r="D24" s="125">
        <v>401.67</v>
      </c>
      <c r="E24" s="125">
        <v>158.66999999999999</v>
      </c>
      <c r="F24" s="116">
        <f t="shared" si="0"/>
        <v>584.12</v>
      </c>
    </row>
    <row r="25" spans="1:6">
      <c r="A25" s="116" t="s">
        <v>12</v>
      </c>
      <c r="B25" s="116" t="s">
        <v>1074</v>
      </c>
      <c r="C25" s="125">
        <v>1</v>
      </c>
      <c r="D25" s="125">
        <v>25.78</v>
      </c>
      <c r="E25" s="125">
        <v>7.11</v>
      </c>
      <c r="F25" s="116">
        <f t="shared" si="0"/>
        <v>33.89</v>
      </c>
    </row>
    <row r="26" spans="1:6">
      <c r="A26" s="116" t="s">
        <v>557</v>
      </c>
      <c r="B26" s="116" t="s">
        <v>1075</v>
      </c>
      <c r="C26" s="125">
        <v>38</v>
      </c>
      <c r="D26" s="125">
        <v>345</v>
      </c>
      <c r="E26" s="125">
        <v>51.89</v>
      </c>
      <c r="F26" s="116">
        <f t="shared" si="0"/>
        <v>434.89</v>
      </c>
    </row>
    <row r="27" spans="1:6">
      <c r="A27" s="116" t="s">
        <v>536</v>
      </c>
      <c r="B27" s="116" t="s">
        <v>1076</v>
      </c>
      <c r="C27" s="125">
        <v>3.44</v>
      </c>
      <c r="D27" s="125">
        <v>51.56</v>
      </c>
      <c r="E27" s="125">
        <v>19.440000000000001</v>
      </c>
      <c r="F27" s="116">
        <f t="shared" si="0"/>
        <v>74.44</v>
      </c>
    </row>
    <row r="28" spans="1:6">
      <c r="A28" s="116" t="s">
        <v>243</v>
      </c>
      <c r="B28" s="116" t="s">
        <v>1077</v>
      </c>
      <c r="C28" s="125">
        <v>11</v>
      </c>
      <c r="D28" s="125">
        <v>550.78</v>
      </c>
      <c r="E28" s="125">
        <v>69.67</v>
      </c>
      <c r="F28" s="116">
        <f t="shared" si="0"/>
        <v>631.44999999999993</v>
      </c>
    </row>
    <row r="29" spans="1:6">
      <c r="A29" s="116" t="s">
        <v>940</v>
      </c>
      <c r="B29" s="116" t="s">
        <v>1078</v>
      </c>
      <c r="C29" s="125">
        <v>0</v>
      </c>
      <c r="D29" s="125">
        <v>27.78</v>
      </c>
      <c r="E29" s="125">
        <v>0.56000000000000005</v>
      </c>
      <c r="F29" s="116">
        <f t="shared" si="0"/>
        <v>28.34</v>
      </c>
    </row>
    <row r="30" spans="1:6">
      <c r="A30" s="116" t="s">
        <v>280</v>
      </c>
      <c r="B30" s="116" t="s">
        <v>1079</v>
      </c>
      <c r="C30" s="125">
        <v>217.11</v>
      </c>
      <c r="D30" s="125">
        <v>1833.78</v>
      </c>
      <c r="E30" s="125">
        <v>1059.44</v>
      </c>
      <c r="F30" s="116">
        <f t="shared" si="0"/>
        <v>3110.33</v>
      </c>
    </row>
    <row r="31" spans="1:6">
      <c r="A31" s="116" t="s">
        <v>334</v>
      </c>
      <c r="B31" s="116" t="s">
        <v>1080</v>
      </c>
      <c r="C31" s="125">
        <v>16.78</v>
      </c>
      <c r="D31" s="125">
        <v>109.11</v>
      </c>
      <c r="E31" s="125">
        <v>69.78</v>
      </c>
      <c r="F31" s="116">
        <f t="shared" si="0"/>
        <v>195.67000000000002</v>
      </c>
    </row>
    <row r="32" spans="1:6">
      <c r="A32" s="116" t="s">
        <v>121</v>
      </c>
      <c r="B32" s="116" t="s">
        <v>1081</v>
      </c>
      <c r="C32" s="125">
        <v>11.22</v>
      </c>
      <c r="D32" s="125">
        <v>117.56</v>
      </c>
      <c r="E32" s="125">
        <v>115.22</v>
      </c>
      <c r="F32" s="116">
        <f t="shared" si="0"/>
        <v>244</v>
      </c>
    </row>
    <row r="33" spans="1:6">
      <c r="A33" s="116" t="s">
        <v>34</v>
      </c>
      <c r="B33" s="116" t="s">
        <v>1082</v>
      </c>
      <c r="C33" s="125">
        <v>41.89</v>
      </c>
      <c r="D33" s="125">
        <v>318.22000000000003</v>
      </c>
      <c r="E33" s="125">
        <v>126.56</v>
      </c>
      <c r="F33" s="116">
        <f t="shared" si="0"/>
        <v>486.67</v>
      </c>
    </row>
    <row r="34" spans="1:6">
      <c r="A34" s="116" t="s">
        <v>515</v>
      </c>
      <c r="B34" s="116" t="s">
        <v>1083</v>
      </c>
      <c r="C34" s="125">
        <v>191.22</v>
      </c>
      <c r="D34" s="125">
        <v>2448.56</v>
      </c>
      <c r="E34" s="125">
        <v>678</v>
      </c>
      <c r="F34" s="116">
        <f t="shared" si="0"/>
        <v>3317.7799999999997</v>
      </c>
    </row>
    <row r="35" spans="1:6">
      <c r="A35" s="116" t="s">
        <v>534</v>
      </c>
      <c r="B35" s="116" t="s">
        <v>1084</v>
      </c>
      <c r="C35" s="125">
        <v>55.11</v>
      </c>
      <c r="D35" s="125">
        <v>568.89</v>
      </c>
      <c r="E35" s="125">
        <v>188.78</v>
      </c>
      <c r="F35" s="116">
        <f t="shared" si="0"/>
        <v>812.78</v>
      </c>
    </row>
    <row r="36" spans="1:6">
      <c r="A36" s="116" t="s">
        <v>477</v>
      </c>
      <c r="B36" s="116" t="s">
        <v>1085</v>
      </c>
      <c r="C36" s="125">
        <v>99.44</v>
      </c>
      <c r="D36" s="125">
        <v>1005.11</v>
      </c>
      <c r="E36" s="125">
        <v>572.33000000000004</v>
      </c>
      <c r="F36" s="116">
        <f t="shared" si="0"/>
        <v>1676.88</v>
      </c>
    </row>
    <row r="37" spans="1:6">
      <c r="A37" s="116" t="s">
        <v>376</v>
      </c>
      <c r="B37" s="116" t="s">
        <v>1086</v>
      </c>
      <c r="C37" s="125">
        <v>34.22</v>
      </c>
      <c r="D37" s="125">
        <v>299</v>
      </c>
      <c r="E37" s="125">
        <v>104.89</v>
      </c>
      <c r="F37" s="116">
        <f t="shared" si="0"/>
        <v>438.11</v>
      </c>
    </row>
    <row r="38" spans="1:6">
      <c r="A38" s="116" t="s">
        <v>61</v>
      </c>
      <c r="B38" s="116" t="s">
        <v>1087</v>
      </c>
      <c r="C38" s="125">
        <v>0</v>
      </c>
      <c r="D38" s="125">
        <v>33.78</v>
      </c>
      <c r="E38" s="125">
        <v>0</v>
      </c>
      <c r="F38" s="116">
        <f t="shared" si="0"/>
        <v>33.78</v>
      </c>
    </row>
    <row r="39" spans="1:6">
      <c r="A39" s="116" t="s">
        <v>466</v>
      </c>
      <c r="B39" s="116" t="s">
        <v>1088</v>
      </c>
      <c r="C39" s="125">
        <v>115.11</v>
      </c>
      <c r="D39" s="125">
        <v>578</v>
      </c>
      <c r="E39" s="125">
        <v>432.22</v>
      </c>
      <c r="F39" s="116">
        <f t="shared" si="0"/>
        <v>1125.33</v>
      </c>
    </row>
    <row r="40" spans="1:6">
      <c r="A40" s="116" t="s">
        <v>155</v>
      </c>
      <c r="B40" s="116" t="s">
        <v>1089</v>
      </c>
      <c r="C40" s="125">
        <v>19.440000000000001</v>
      </c>
      <c r="D40" s="125">
        <v>149</v>
      </c>
      <c r="E40" s="125">
        <v>83.22</v>
      </c>
      <c r="F40" s="116">
        <f t="shared" si="0"/>
        <v>251.66</v>
      </c>
    </row>
    <row r="41" spans="1:6">
      <c r="A41" s="116" t="s">
        <v>177</v>
      </c>
      <c r="B41" s="116" t="s">
        <v>1090</v>
      </c>
      <c r="C41" s="125">
        <v>25.22</v>
      </c>
      <c r="D41" s="125">
        <v>188.89</v>
      </c>
      <c r="E41" s="125">
        <v>138.33000000000001</v>
      </c>
      <c r="F41" s="116">
        <f t="shared" si="0"/>
        <v>352.44</v>
      </c>
    </row>
    <row r="42" spans="1:6">
      <c r="A42" s="116" t="s">
        <v>456</v>
      </c>
      <c r="B42" s="116" t="s">
        <v>1091</v>
      </c>
      <c r="C42" s="125">
        <v>46.44</v>
      </c>
      <c r="D42" s="125">
        <v>365.67</v>
      </c>
      <c r="E42" s="125">
        <v>327.33</v>
      </c>
      <c r="F42" s="116">
        <f t="shared" si="0"/>
        <v>739.44</v>
      </c>
    </row>
    <row r="43" spans="1:6">
      <c r="A43" s="116" t="s">
        <v>528</v>
      </c>
      <c r="B43" s="116" t="s">
        <v>1092</v>
      </c>
      <c r="C43" s="125">
        <v>10.67</v>
      </c>
      <c r="D43" s="125">
        <v>49.89</v>
      </c>
      <c r="E43" s="125">
        <v>15.89</v>
      </c>
      <c r="F43" s="116">
        <f t="shared" si="0"/>
        <v>76.45</v>
      </c>
    </row>
    <row r="44" spans="1:6">
      <c r="A44" s="116" t="s">
        <v>169</v>
      </c>
      <c r="B44" s="116" t="s">
        <v>1093</v>
      </c>
      <c r="C44" s="125">
        <v>2</v>
      </c>
      <c r="D44" s="125">
        <v>3.78</v>
      </c>
      <c r="E44" s="125">
        <v>0</v>
      </c>
      <c r="F44" s="116">
        <f t="shared" si="0"/>
        <v>5.7799999999999994</v>
      </c>
    </row>
    <row r="45" spans="1:6">
      <c r="A45" s="116" t="s">
        <v>232</v>
      </c>
      <c r="B45" s="116" t="s">
        <v>1094</v>
      </c>
      <c r="C45" s="125">
        <v>63</v>
      </c>
      <c r="D45" s="125">
        <v>454.44</v>
      </c>
      <c r="E45" s="125">
        <v>202.89</v>
      </c>
      <c r="F45" s="116">
        <f t="shared" si="0"/>
        <v>720.33</v>
      </c>
    </row>
    <row r="46" spans="1:6">
      <c r="A46" s="116" t="s">
        <v>492</v>
      </c>
      <c r="B46" s="116" t="s">
        <v>1095</v>
      </c>
      <c r="C46" s="125">
        <v>0.11</v>
      </c>
      <c r="D46" s="125">
        <v>7.44</v>
      </c>
      <c r="E46" s="125">
        <v>2</v>
      </c>
      <c r="F46" s="116">
        <f t="shared" si="0"/>
        <v>9.5500000000000007</v>
      </c>
    </row>
    <row r="47" spans="1:6">
      <c r="A47" s="116" t="s">
        <v>454</v>
      </c>
      <c r="B47" s="116" t="s">
        <v>1096</v>
      </c>
      <c r="C47" s="125">
        <v>0</v>
      </c>
      <c r="D47" s="125">
        <v>3.44</v>
      </c>
      <c r="E47" s="125">
        <v>0</v>
      </c>
      <c r="F47" s="116">
        <f t="shared" si="0"/>
        <v>3.44</v>
      </c>
    </row>
    <row r="48" spans="1:6">
      <c r="A48" s="116" t="s">
        <v>402</v>
      </c>
      <c r="B48" s="116" t="s">
        <v>1097</v>
      </c>
      <c r="C48" s="125">
        <v>1.1100000000000001</v>
      </c>
      <c r="D48" s="125">
        <v>27</v>
      </c>
      <c r="E48" s="125">
        <v>3.78</v>
      </c>
      <c r="F48" s="116">
        <f t="shared" si="0"/>
        <v>31.89</v>
      </c>
    </row>
    <row r="49" spans="1:6">
      <c r="A49" s="116" t="s">
        <v>159</v>
      </c>
      <c r="B49" s="116" t="s">
        <v>1098</v>
      </c>
      <c r="C49" s="125">
        <v>0</v>
      </c>
      <c r="D49" s="125">
        <v>5.89</v>
      </c>
      <c r="E49" s="125">
        <v>0</v>
      </c>
      <c r="F49" s="116">
        <f t="shared" si="0"/>
        <v>5.89</v>
      </c>
    </row>
    <row r="50" spans="1:6">
      <c r="A50" s="116" t="s">
        <v>340</v>
      </c>
      <c r="B50" s="116" t="s">
        <v>1099</v>
      </c>
      <c r="C50" s="125">
        <v>1.89</v>
      </c>
      <c r="D50" s="125">
        <v>20.78</v>
      </c>
      <c r="E50" s="125">
        <v>5.44</v>
      </c>
      <c r="F50" s="116">
        <f t="shared" si="0"/>
        <v>28.110000000000003</v>
      </c>
    </row>
    <row r="51" spans="1:6">
      <c r="A51" s="116" t="s">
        <v>372</v>
      </c>
      <c r="B51" s="116" t="s">
        <v>1100</v>
      </c>
      <c r="C51" s="125">
        <v>2.56</v>
      </c>
      <c r="D51" s="125">
        <v>47.44</v>
      </c>
      <c r="E51" s="125">
        <v>12.67</v>
      </c>
      <c r="F51" s="116">
        <f t="shared" si="0"/>
        <v>62.67</v>
      </c>
    </row>
    <row r="52" spans="1:6">
      <c r="A52" s="116" t="s">
        <v>2</v>
      </c>
      <c r="B52" s="116" t="s">
        <v>1101</v>
      </c>
      <c r="C52" s="125">
        <v>152.56</v>
      </c>
      <c r="D52" s="125">
        <v>1193.1099999999999</v>
      </c>
      <c r="E52" s="125">
        <v>1067.67</v>
      </c>
      <c r="F52" s="116">
        <f t="shared" si="0"/>
        <v>2413.34</v>
      </c>
    </row>
    <row r="53" spans="1:6">
      <c r="A53" s="116" t="s">
        <v>216</v>
      </c>
      <c r="B53" s="116" t="s">
        <v>1102</v>
      </c>
      <c r="C53" s="125">
        <v>27.89</v>
      </c>
      <c r="D53" s="125">
        <v>156.66999999999999</v>
      </c>
      <c r="E53" s="125">
        <v>130.22</v>
      </c>
      <c r="F53" s="116">
        <f t="shared" si="0"/>
        <v>314.77999999999997</v>
      </c>
    </row>
    <row r="54" spans="1:6">
      <c r="A54" s="116" t="s">
        <v>59</v>
      </c>
      <c r="B54" s="116" t="s">
        <v>1103</v>
      </c>
      <c r="C54" s="125">
        <v>0</v>
      </c>
      <c r="D54" s="125">
        <v>0</v>
      </c>
      <c r="E54" s="125">
        <v>0</v>
      </c>
      <c r="F54" s="116">
        <f t="shared" si="0"/>
        <v>0</v>
      </c>
    </row>
    <row r="55" spans="1:6">
      <c r="A55" s="116" t="s">
        <v>399</v>
      </c>
      <c r="B55" s="116" t="s">
        <v>1104</v>
      </c>
      <c r="C55" s="125">
        <v>3.89</v>
      </c>
      <c r="D55" s="125">
        <v>21.67</v>
      </c>
      <c r="E55" s="125">
        <v>34.22</v>
      </c>
      <c r="F55" s="116">
        <f t="shared" si="0"/>
        <v>59.78</v>
      </c>
    </row>
    <row r="56" spans="1:6">
      <c r="A56" s="116" t="s">
        <v>505</v>
      </c>
      <c r="B56" s="116" t="s">
        <v>1105</v>
      </c>
      <c r="C56" s="125">
        <v>23.44</v>
      </c>
      <c r="D56" s="125">
        <v>157.11000000000001</v>
      </c>
      <c r="E56" s="125">
        <v>130.44</v>
      </c>
      <c r="F56" s="116">
        <f t="shared" si="0"/>
        <v>310.99</v>
      </c>
    </row>
    <row r="57" spans="1:6">
      <c r="A57" s="116" t="s">
        <v>362</v>
      </c>
      <c r="B57" s="116" t="s">
        <v>1106</v>
      </c>
      <c r="C57" s="125">
        <v>18</v>
      </c>
      <c r="D57" s="125">
        <v>322</v>
      </c>
      <c r="E57" s="125">
        <v>105.89</v>
      </c>
      <c r="F57" s="116">
        <f t="shared" si="0"/>
        <v>445.89</v>
      </c>
    </row>
    <row r="58" spans="1:6">
      <c r="A58" s="116" t="s">
        <v>32</v>
      </c>
      <c r="B58" s="116" t="s">
        <v>1107</v>
      </c>
      <c r="C58" s="125">
        <v>9.2200000000000006</v>
      </c>
      <c r="D58" s="125">
        <v>42.44</v>
      </c>
      <c r="E58" s="125">
        <v>82.22</v>
      </c>
      <c r="F58" s="116">
        <f t="shared" si="0"/>
        <v>133.88</v>
      </c>
    </row>
    <row r="59" spans="1:6">
      <c r="A59" s="116" t="s">
        <v>142</v>
      </c>
      <c r="B59" s="116" t="s">
        <v>1108</v>
      </c>
      <c r="C59" s="125">
        <v>0.44</v>
      </c>
      <c r="D59" s="125">
        <v>9.33</v>
      </c>
      <c r="E59" s="125">
        <v>12</v>
      </c>
      <c r="F59" s="116">
        <f t="shared" si="0"/>
        <v>21.77</v>
      </c>
    </row>
    <row r="60" spans="1:6">
      <c r="A60" s="116" t="s">
        <v>83</v>
      </c>
      <c r="B60" s="116" t="s">
        <v>1109</v>
      </c>
      <c r="C60" s="125">
        <v>3.11</v>
      </c>
      <c r="D60" s="125">
        <v>86.22</v>
      </c>
      <c r="E60" s="125">
        <v>20.67</v>
      </c>
      <c r="F60" s="116">
        <f t="shared" si="0"/>
        <v>110</v>
      </c>
    </row>
    <row r="61" spans="1:6">
      <c r="A61" s="116" t="s">
        <v>276</v>
      </c>
      <c r="B61" s="116" t="s">
        <v>1110</v>
      </c>
      <c r="C61" s="125">
        <v>13.89</v>
      </c>
      <c r="D61" s="125">
        <v>141.88999999999999</v>
      </c>
      <c r="E61" s="125">
        <v>93.44</v>
      </c>
      <c r="F61" s="116">
        <f t="shared" si="0"/>
        <v>249.21999999999997</v>
      </c>
    </row>
    <row r="62" spans="1:6">
      <c r="A62" s="116" t="s">
        <v>205</v>
      </c>
      <c r="B62" s="116" t="s">
        <v>1111</v>
      </c>
      <c r="C62" s="125">
        <v>127.89</v>
      </c>
      <c r="D62" s="125">
        <v>694.78</v>
      </c>
      <c r="E62" s="125">
        <v>406.11</v>
      </c>
      <c r="F62" s="116">
        <f t="shared" si="0"/>
        <v>1228.78</v>
      </c>
    </row>
    <row r="63" spans="1:6">
      <c r="A63" s="116" t="s">
        <v>417</v>
      </c>
      <c r="B63" s="116" t="s">
        <v>1112</v>
      </c>
      <c r="C63" s="125">
        <v>22.56</v>
      </c>
      <c r="D63" s="125">
        <v>233.56</v>
      </c>
      <c r="E63" s="125">
        <v>92.22</v>
      </c>
      <c r="F63" s="116">
        <f t="shared" si="0"/>
        <v>348.34000000000003</v>
      </c>
    </row>
    <row r="64" spans="1:6">
      <c r="A64" s="116" t="s">
        <v>310</v>
      </c>
      <c r="B64" s="116" t="s">
        <v>1113</v>
      </c>
      <c r="C64" s="125">
        <v>0</v>
      </c>
      <c r="D64" s="125">
        <v>15.56</v>
      </c>
      <c r="E64" s="125">
        <v>1.33</v>
      </c>
      <c r="F64" s="116">
        <f t="shared" si="0"/>
        <v>16.89</v>
      </c>
    </row>
    <row r="65" spans="1:6">
      <c r="A65" s="116" t="s">
        <v>436</v>
      </c>
      <c r="B65" s="116" t="s">
        <v>1114</v>
      </c>
      <c r="C65" s="125">
        <v>4.5599999999999996</v>
      </c>
      <c r="D65" s="125">
        <v>64.78</v>
      </c>
      <c r="E65" s="125">
        <v>35.44</v>
      </c>
      <c r="F65" s="116">
        <f t="shared" si="0"/>
        <v>104.78</v>
      </c>
    </row>
    <row r="66" spans="1:6">
      <c r="A66" s="116" t="s">
        <v>51</v>
      </c>
      <c r="B66" s="116" t="s">
        <v>1115</v>
      </c>
      <c r="C66" s="125">
        <v>53.56</v>
      </c>
      <c r="D66" s="125">
        <v>270.44</v>
      </c>
      <c r="E66" s="125">
        <v>220</v>
      </c>
      <c r="F66" s="116">
        <f t="shared" si="0"/>
        <v>544</v>
      </c>
    </row>
    <row r="67" spans="1:6">
      <c r="A67" s="116" t="s">
        <v>338</v>
      </c>
      <c r="B67" s="116" t="s">
        <v>1116</v>
      </c>
      <c r="C67" s="125">
        <v>10.67</v>
      </c>
      <c r="D67" s="125">
        <v>182.33</v>
      </c>
      <c r="E67" s="125">
        <v>52.11</v>
      </c>
      <c r="F67" s="116">
        <f t="shared" ref="F67:F130" si="1">C67+D67+E67</f>
        <v>245.11</v>
      </c>
    </row>
    <row r="68" spans="1:6">
      <c r="A68" s="116" t="s">
        <v>214</v>
      </c>
      <c r="B68" s="116" t="s">
        <v>1117</v>
      </c>
      <c r="C68" s="125">
        <v>2.33</v>
      </c>
      <c r="D68" s="125">
        <v>89.78</v>
      </c>
      <c r="E68" s="125">
        <v>28.78</v>
      </c>
      <c r="F68" s="116">
        <f t="shared" si="1"/>
        <v>120.89</v>
      </c>
    </row>
    <row r="69" spans="1:6">
      <c r="A69" s="116" t="s">
        <v>38</v>
      </c>
      <c r="B69" s="116" t="s">
        <v>1118</v>
      </c>
      <c r="C69" s="125">
        <v>4.8899999999999997</v>
      </c>
      <c r="D69" s="125">
        <v>48.67</v>
      </c>
      <c r="E69" s="125">
        <v>10.33</v>
      </c>
      <c r="F69" s="116">
        <f t="shared" si="1"/>
        <v>63.89</v>
      </c>
    </row>
    <row r="70" spans="1:6">
      <c r="A70" s="116" t="s">
        <v>73</v>
      </c>
      <c r="B70" s="116" t="s">
        <v>1119</v>
      </c>
      <c r="C70" s="125">
        <v>27.33</v>
      </c>
      <c r="D70" s="125">
        <v>108</v>
      </c>
      <c r="E70" s="125">
        <v>85.78</v>
      </c>
      <c r="F70" s="116">
        <f t="shared" si="1"/>
        <v>221.10999999999999</v>
      </c>
    </row>
    <row r="71" spans="1:6">
      <c r="A71" s="116" t="s">
        <v>409</v>
      </c>
      <c r="B71" s="116" t="s">
        <v>1120</v>
      </c>
      <c r="C71" s="125">
        <v>18</v>
      </c>
      <c r="D71" s="125">
        <v>110.11</v>
      </c>
      <c r="E71" s="125">
        <v>156.44</v>
      </c>
      <c r="F71" s="116">
        <f t="shared" si="1"/>
        <v>284.55</v>
      </c>
    </row>
    <row r="72" spans="1:6">
      <c r="A72" s="116" t="s">
        <v>252</v>
      </c>
      <c r="B72" s="116" t="s">
        <v>1121</v>
      </c>
      <c r="C72" s="125">
        <v>1</v>
      </c>
      <c r="D72" s="125">
        <v>39.44</v>
      </c>
      <c r="E72" s="125">
        <v>2.67</v>
      </c>
      <c r="F72" s="116">
        <f t="shared" si="1"/>
        <v>43.11</v>
      </c>
    </row>
    <row r="73" spans="1:6">
      <c r="A73" s="116" t="s">
        <v>140</v>
      </c>
      <c r="B73" s="116" t="s">
        <v>1122</v>
      </c>
      <c r="C73" s="125">
        <v>0.11</v>
      </c>
      <c r="D73" s="125">
        <v>14.56</v>
      </c>
      <c r="E73" s="125">
        <v>7.89</v>
      </c>
      <c r="F73" s="116">
        <f t="shared" si="1"/>
        <v>22.56</v>
      </c>
    </row>
    <row r="74" spans="1:6">
      <c r="A74" s="116" t="s">
        <v>547</v>
      </c>
      <c r="B74" s="116" t="s">
        <v>1123</v>
      </c>
      <c r="C74" s="125">
        <v>0</v>
      </c>
      <c r="D74" s="125">
        <v>9</v>
      </c>
      <c r="E74" s="125">
        <v>0</v>
      </c>
      <c r="F74" s="116">
        <f t="shared" si="1"/>
        <v>9</v>
      </c>
    </row>
    <row r="75" spans="1:6">
      <c r="A75" s="116" t="s">
        <v>173</v>
      </c>
      <c r="B75" s="116" t="s">
        <v>1124</v>
      </c>
      <c r="C75" s="125">
        <v>0.44</v>
      </c>
      <c r="D75" s="125">
        <v>16.22</v>
      </c>
      <c r="E75" s="125">
        <v>4</v>
      </c>
      <c r="F75" s="116">
        <f t="shared" si="1"/>
        <v>20.66</v>
      </c>
    </row>
    <row r="76" spans="1:6">
      <c r="A76" s="116" t="s">
        <v>104</v>
      </c>
      <c r="B76" s="116" t="s">
        <v>1125</v>
      </c>
      <c r="C76" s="125">
        <v>5.44</v>
      </c>
      <c r="D76" s="125">
        <v>58.67</v>
      </c>
      <c r="E76" s="125">
        <v>9.89</v>
      </c>
      <c r="F76" s="116">
        <f t="shared" si="1"/>
        <v>74</v>
      </c>
    </row>
    <row r="77" spans="1:6">
      <c r="A77" s="116" t="s">
        <v>328</v>
      </c>
      <c r="B77" s="116" t="s">
        <v>1126</v>
      </c>
      <c r="C77" s="125">
        <v>5.33</v>
      </c>
      <c r="D77" s="125">
        <v>52.44</v>
      </c>
      <c r="E77" s="125">
        <v>8.44</v>
      </c>
      <c r="F77" s="116">
        <f t="shared" si="1"/>
        <v>66.209999999999994</v>
      </c>
    </row>
    <row r="78" spans="1:6">
      <c r="A78" s="116" t="s">
        <v>324</v>
      </c>
      <c r="B78" s="116" t="s">
        <v>1127</v>
      </c>
      <c r="C78" s="125">
        <v>150.22</v>
      </c>
      <c r="D78" s="125">
        <v>525</v>
      </c>
      <c r="E78" s="125">
        <v>387.89</v>
      </c>
      <c r="F78" s="116">
        <f t="shared" si="1"/>
        <v>1063.1100000000001</v>
      </c>
    </row>
    <row r="79" spans="1:6">
      <c r="A79" s="116" t="s">
        <v>143</v>
      </c>
      <c r="B79" s="116" t="s">
        <v>1128</v>
      </c>
      <c r="C79" s="125">
        <v>11.67</v>
      </c>
      <c r="D79" s="125">
        <v>100.22</v>
      </c>
      <c r="E79" s="125">
        <v>45.89</v>
      </c>
      <c r="F79" s="116">
        <f t="shared" si="1"/>
        <v>157.78</v>
      </c>
    </row>
    <row r="80" spans="1:6">
      <c r="A80" s="116" t="s">
        <v>569</v>
      </c>
      <c r="B80" s="116" t="s">
        <v>1129</v>
      </c>
      <c r="C80" s="125">
        <v>8.11</v>
      </c>
      <c r="D80" s="125">
        <v>113.11</v>
      </c>
      <c r="E80" s="125">
        <v>65.56</v>
      </c>
      <c r="F80" s="116">
        <f t="shared" si="1"/>
        <v>186.78</v>
      </c>
    </row>
    <row r="81" spans="1:6">
      <c r="A81" s="116" t="s">
        <v>354</v>
      </c>
      <c r="B81" s="116" t="s">
        <v>1130</v>
      </c>
      <c r="C81" s="125">
        <v>1</v>
      </c>
      <c r="D81" s="125">
        <v>8.89</v>
      </c>
      <c r="E81" s="125">
        <v>0</v>
      </c>
      <c r="F81" s="116">
        <f t="shared" si="1"/>
        <v>9.89</v>
      </c>
    </row>
    <row r="82" spans="1:6">
      <c r="A82" s="116" t="s">
        <v>530</v>
      </c>
      <c r="B82" s="116" t="s">
        <v>1131</v>
      </c>
      <c r="C82" s="125">
        <v>1</v>
      </c>
      <c r="D82" s="125">
        <v>6.33</v>
      </c>
      <c r="E82" s="125">
        <v>1</v>
      </c>
      <c r="F82" s="116">
        <f t="shared" si="1"/>
        <v>8.33</v>
      </c>
    </row>
    <row r="83" spans="1:6">
      <c r="A83" s="116" t="s">
        <v>67</v>
      </c>
      <c r="B83" s="116" t="s">
        <v>1132</v>
      </c>
      <c r="C83" s="125">
        <v>0</v>
      </c>
      <c r="D83" s="125">
        <v>54.22</v>
      </c>
      <c r="E83" s="125">
        <v>3</v>
      </c>
      <c r="F83" s="116">
        <f t="shared" si="1"/>
        <v>57.22</v>
      </c>
    </row>
    <row r="84" spans="1:6">
      <c r="A84" s="116" t="s">
        <v>19</v>
      </c>
      <c r="B84" s="116" t="s">
        <v>1133</v>
      </c>
      <c r="C84" s="125">
        <v>11.33</v>
      </c>
      <c r="D84" s="125">
        <v>74.22</v>
      </c>
      <c r="E84" s="125">
        <v>37.33</v>
      </c>
      <c r="F84" s="116">
        <f t="shared" si="1"/>
        <v>122.88</v>
      </c>
    </row>
    <row r="85" spans="1:6">
      <c r="A85" s="116" t="s">
        <v>384</v>
      </c>
      <c r="B85" s="116" t="s">
        <v>1134</v>
      </c>
      <c r="C85" s="125">
        <v>13.22</v>
      </c>
      <c r="D85" s="125">
        <v>102.56</v>
      </c>
      <c r="E85" s="125">
        <v>44.56</v>
      </c>
      <c r="F85" s="116">
        <f t="shared" si="1"/>
        <v>160.34</v>
      </c>
    </row>
    <row r="86" spans="1:6">
      <c r="A86" s="116" t="s">
        <v>549</v>
      </c>
      <c r="B86" s="116" t="s">
        <v>1135</v>
      </c>
      <c r="C86" s="125">
        <v>412.44</v>
      </c>
      <c r="D86" s="125">
        <v>4827.67</v>
      </c>
      <c r="E86" s="125">
        <v>2131.33</v>
      </c>
      <c r="F86" s="116">
        <f t="shared" si="1"/>
        <v>7371.44</v>
      </c>
    </row>
    <row r="87" spans="1:6">
      <c r="A87" s="116" t="s">
        <v>517</v>
      </c>
      <c r="B87" s="116" t="s">
        <v>1136</v>
      </c>
      <c r="C87" s="125">
        <v>268.77999999999997</v>
      </c>
      <c r="D87" s="125">
        <v>1326.11</v>
      </c>
      <c r="E87" s="125">
        <v>1341.11</v>
      </c>
      <c r="F87" s="116">
        <f t="shared" si="1"/>
        <v>2936</v>
      </c>
    </row>
    <row r="88" spans="1:6">
      <c r="A88" s="116" t="s">
        <v>415</v>
      </c>
      <c r="B88" s="116" t="s">
        <v>1137</v>
      </c>
      <c r="C88" s="125">
        <v>78.56</v>
      </c>
      <c r="D88" s="125">
        <v>339.33</v>
      </c>
      <c r="E88" s="125">
        <v>264.77999999999997</v>
      </c>
      <c r="F88" s="116">
        <f t="shared" si="1"/>
        <v>682.67</v>
      </c>
    </row>
    <row r="89" spans="1:6">
      <c r="A89" s="116" t="s">
        <v>43</v>
      </c>
      <c r="B89" s="116" t="s">
        <v>1138</v>
      </c>
      <c r="C89" s="125">
        <v>25.67</v>
      </c>
      <c r="D89" s="125">
        <v>275.67</v>
      </c>
      <c r="E89" s="125">
        <v>121.78</v>
      </c>
      <c r="F89" s="116">
        <f t="shared" si="1"/>
        <v>423.12</v>
      </c>
    </row>
    <row r="90" spans="1:6">
      <c r="A90" s="116" t="s">
        <v>332</v>
      </c>
      <c r="B90" s="116" t="s">
        <v>1139</v>
      </c>
      <c r="C90" s="125">
        <v>198.89</v>
      </c>
      <c r="D90" s="125">
        <v>1780.22</v>
      </c>
      <c r="E90" s="125">
        <v>738.89</v>
      </c>
      <c r="F90" s="116">
        <f t="shared" si="1"/>
        <v>2718</v>
      </c>
    </row>
    <row r="91" spans="1:6">
      <c r="A91" s="116" t="s">
        <v>501</v>
      </c>
      <c r="B91" s="116" t="s">
        <v>1140</v>
      </c>
      <c r="C91" s="125">
        <v>16.22</v>
      </c>
      <c r="D91" s="125">
        <v>122</v>
      </c>
      <c r="E91" s="125">
        <v>36.89</v>
      </c>
      <c r="F91" s="116">
        <f t="shared" si="1"/>
        <v>175.11</v>
      </c>
    </row>
    <row r="92" spans="1:6">
      <c r="A92" s="116" t="s">
        <v>370</v>
      </c>
      <c r="B92" s="116" t="s">
        <v>1141</v>
      </c>
      <c r="C92" s="125">
        <v>216.22</v>
      </c>
      <c r="D92" s="125">
        <v>1045.56</v>
      </c>
      <c r="E92" s="125">
        <v>911.56</v>
      </c>
      <c r="F92" s="116">
        <f t="shared" si="1"/>
        <v>2173.34</v>
      </c>
    </row>
    <row r="93" spans="1:6">
      <c r="A93" s="116" t="s">
        <v>77</v>
      </c>
      <c r="B93" s="116" t="s">
        <v>1142</v>
      </c>
      <c r="C93" s="125">
        <v>0.33</v>
      </c>
      <c r="D93" s="125">
        <v>12.56</v>
      </c>
      <c r="E93" s="125">
        <v>0</v>
      </c>
      <c r="F93" s="116">
        <f t="shared" si="1"/>
        <v>12.89</v>
      </c>
    </row>
    <row r="94" spans="1:6">
      <c r="A94" s="116" t="s">
        <v>195</v>
      </c>
      <c r="B94" s="116" t="s">
        <v>1143</v>
      </c>
      <c r="C94" s="125">
        <v>139.33000000000001</v>
      </c>
      <c r="D94" s="125">
        <v>1099</v>
      </c>
      <c r="E94" s="125">
        <v>537.78</v>
      </c>
      <c r="F94" s="116">
        <f t="shared" si="1"/>
        <v>1776.11</v>
      </c>
    </row>
    <row r="95" spans="1:6">
      <c r="A95" s="116" t="s">
        <v>566</v>
      </c>
      <c r="B95" s="116" t="s">
        <v>1144</v>
      </c>
      <c r="C95" s="125">
        <v>30.44</v>
      </c>
      <c r="D95" s="125">
        <v>188</v>
      </c>
      <c r="E95" s="125">
        <v>143</v>
      </c>
      <c r="F95" s="116">
        <f t="shared" si="1"/>
        <v>361.44</v>
      </c>
    </row>
    <row r="96" spans="1:6">
      <c r="A96" s="116" t="s">
        <v>382</v>
      </c>
      <c r="B96" s="116" t="s">
        <v>1145</v>
      </c>
      <c r="C96" s="125">
        <v>22.78</v>
      </c>
      <c r="D96" s="125">
        <v>235.89</v>
      </c>
      <c r="E96" s="125">
        <v>77.56</v>
      </c>
      <c r="F96" s="116">
        <f t="shared" si="1"/>
        <v>336.22999999999996</v>
      </c>
    </row>
    <row r="97" spans="1:6">
      <c r="A97" s="116" t="s">
        <v>474</v>
      </c>
      <c r="B97" s="116" t="s">
        <v>1146</v>
      </c>
      <c r="C97" s="125">
        <v>201.89</v>
      </c>
      <c r="D97" s="125">
        <v>1005.56</v>
      </c>
      <c r="E97" s="125">
        <v>766.22</v>
      </c>
      <c r="F97" s="116">
        <f t="shared" si="1"/>
        <v>1973.6699999999998</v>
      </c>
    </row>
    <row r="98" spans="1:6">
      <c r="A98" s="116" t="s">
        <v>254</v>
      </c>
      <c r="B98" s="116" t="s">
        <v>1147</v>
      </c>
      <c r="C98" s="125">
        <v>117.56</v>
      </c>
      <c r="D98" s="125">
        <v>532</v>
      </c>
      <c r="E98" s="125">
        <v>493.33</v>
      </c>
      <c r="F98" s="116">
        <f t="shared" si="1"/>
        <v>1142.8899999999999</v>
      </c>
    </row>
    <row r="99" spans="1:6">
      <c r="A99" s="116" t="s">
        <v>81</v>
      </c>
      <c r="B99" s="116" t="s">
        <v>1148</v>
      </c>
      <c r="C99" s="125">
        <v>66.33</v>
      </c>
      <c r="D99" s="125">
        <v>427.11</v>
      </c>
      <c r="E99" s="125">
        <v>241.22</v>
      </c>
      <c r="F99" s="116">
        <f t="shared" si="1"/>
        <v>734.66</v>
      </c>
    </row>
    <row r="100" spans="1:6">
      <c r="A100" s="116" t="s">
        <v>344</v>
      </c>
      <c r="B100" s="116" t="s">
        <v>1149</v>
      </c>
      <c r="C100" s="125">
        <v>140.88999999999999</v>
      </c>
      <c r="D100" s="125">
        <v>1050.67</v>
      </c>
      <c r="E100" s="125">
        <v>551.44000000000005</v>
      </c>
      <c r="F100" s="116">
        <f t="shared" si="1"/>
        <v>1743</v>
      </c>
    </row>
    <row r="101" spans="1:6">
      <c r="A101" s="116" t="s">
        <v>563</v>
      </c>
      <c r="B101" s="116" t="s">
        <v>1150</v>
      </c>
      <c r="C101" s="125">
        <v>91.33</v>
      </c>
      <c r="D101" s="125">
        <v>708.33</v>
      </c>
      <c r="E101" s="125">
        <v>327.78</v>
      </c>
      <c r="F101" s="116">
        <f t="shared" si="1"/>
        <v>1127.44</v>
      </c>
    </row>
    <row r="102" spans="1:6">
      <c r="A102" s="116" t="s">
        <v>128</v>
      </c>
      <c r="B102" s="116" t="s">
        <v>1151</v>
      </c>
      <c r="C102" s="125">
        <v>255.44</v>
      </c>
      <c r="D102" s="125">
        <v>1812.89</v>
      </c>
      <c r="E102" s="125">
        <v>928.33</v>
      </c>
      <c r="F102" s="116">
        <f t="shared" si="1"/>
        <v>2996.66</v>
      </c>
    </row>
    <row r="103" spans="1:6">
      <c r="A103" s="116" t="s">
        <v>460</v>
      </c>
      <c r="B103" s="116" t="s">
        <v>1152</v>
      </c>
      <c r="C103" s="125">
        <v>271</v>
      </c>
      <c r="D103" s="125">
        <v>1508.22</v>
      </c>
      <c r="E103" s="125">
        <v>1203.1099999999999</v>
      </c>
      <c r="F103" s="116">
        <f t="shared" si="1"/>
        <v>2982.33</v>
      </c>
    </row>
    <row r="104" spans="1:6">
      <c r="A104" s="116" t="s">
        <v>322</v>
      </c>
      <c r="B104" s="116" t="s">
        <v>1153</v>
      </c>
      <c r="C104" s="125">
        <v>211.78</v>
      </c>
      <c r="D104" s="125">
        <v>1735.22</v>
      </c>
      <c r="E104" s="125">
        <v>905.67</v>
      </c>
      <c r="F104" s="116">
        <f t="shared" si="1"/>
        <v>2852.67</v>
      </c>
    </row>
    <row r="105" spans="1:6">
      <c r="A105" s="116" t="s">
        <v>933</v>
      </c>
      <c r="B105" s="116" t="s">
        <v>1154</v>
      </c>
      <c r="C105" s="125">
        <v>0</v>
      </c>
      <c r="D105" s="125">
        <v>60</v>
      </c>
      <c r="E105" s="125">
        <v>0.78</v>
      </c>
      <c r="F105" s="116">
        <f t="shared" si="1"/>
        <v>60.78</v>
      </c>
    </row>
    <row r="106" spans="1:6">
      <c r="A106" s="116" t="s">
        <v>948</v>
      </c>
      <c r="B106" s="116" t="s">
        <v>1155</v>
      </c>
      <c r="C106" s="125">
        <v>0</v>
      </c>
      <c r="D106" s="125">
        <v>0</v>
      </c>
      <c r="E106" s="125">
        <v>0</v>
      </c>
      <c r="F106" s="116">
        <f t="shared" si="1"/>
        <v>0</v>
      </c>
    </row>
    <row r="107" spans="1:6">
      <c r="A107" s="116" t="s">
        <v>954</v>
      </c>
      <c r="B107" s="116" t="s">
        <v>1156</v>
      </c>
      <c r="C107" s="125">
        <v>0</v>
      </c>
      <c r="D107" s="125">
        <v>81.56</v>
      </c>
      <c r="E107" s="125">
        <v>1.22</v>
      </c>
      <c r="F107" s="116">
        <f t="shared" si="1"/>
        <v>82.78</v>
      </c>
    </row>
    <row r="108" spans="1:6">
      <c r="A108" s="116" t="s">
        <v>935</v>
      </c>
      <c r="B108" s="116" t="s">
        <v>1157</v>
      </c>
      <c r="C108" s="125">
        <v>0</v>
      </c>
      <c r="D108" s="125">
        <v>24.33</v>
      </c>
      <c r="E108" s="125">
        <v>0</v>
      </c>
      <c r="F108" s="116">
        <f t="shared" si="1"/>
        <v>24.33</v>
      </c>
    </row>
    <row r="109" spans="1:6">
      <c r="A109" s="116" t="s">
        <v>961</v>
      </c>
      <c r="B109" s="116" t="s">
        <v>1158</v>
      </c>
      <c r="C109" s="125">
        <v>0</v>
      </c>
      <c r="D109" s="125">
        <v>20.440000000000001</v>
      </c>
      <c r="E109" s="125">
        <v>18</v>
      </c>
      <c r="F109" s="116">
        <f t="shared" si="1"/>
        <v>38.44</v>
      </c>
    </row>
    <row r="110" spans="1:6">
      <c r="A110" s="116" t="s">
        <v>964</v>
      </c>
      <c r="B110" s="116" t="s">
        <v>1159</v>
      </c>
      <c r="C110" s="125">
        <v>0</v>
      </c>
      <c r="D110" s="125">
        <v>22.56</v>
      </c>
      <c r="E110" s="125">
        <v>0.11</v>
      </c>
      <c r="F110" s="116">
        <f t="shared" si="1"/>
        <v>22.669999999999998</v>
      </c>
    </row>
    <row r="111" spans="1:6">
      <c r="A111" s="116" t="s">
        <v>1051</v>
      </c>
      <c r="B111" s="116" t="s">
        <v>1160</v>
      </c>
      <c r="C111" s="125">
        <v>0</v>
      </c>
      <c r="D111" s="125">
        <v>8.67</v>
      </c>
      <c r="E111" s="125">
        <v>0.33</v>
      </c>
      <c r="F111" s="116">
        <f t="shared" si="1"/>
        <v>9</v>
      </c>
    </row>
    <row r="112" spans="1:6">
      <c r="A112" s="116" t="s">
        <v>1161</v>
      </c>
      <c r="B112" s="116" t="s">
        <v>1564</v>
      </c>
      <c r="C112" s="125">
        <v>0</v>
      </c>
      <c r="D112" s="125">
        <v>12.78</v>
      </c>
      <c r="E112" s="125">
        <v>4.67</v>
      </c>
      <c r="F112" s="116">
        <f t="shared" si="1"/>
        <v>17.45</v>
      </c>
    </row>
    <row r="113" spans="1:6">
      <c r="A113" s="116" t="s">
        <v>524</v>
      </c>
      <c r="B113" s="116" t="s">
        <v>1162</v>
      </c>
      <c r="C113" s="125">
        <v>80.56</v>
      </c>
      <c r="D113" s="125">
        <v>407.44</v>
      </c>
      <c r="E113" s="125">
        <v>240.22</v>
      </c>
      <c r="F113" s="116">
        <f t="shared" si="1"/>
        <v>728.22</v>
      </c>
    </row>
    <row r="114" spans="1:6">
      <c r="A114" s="116" t="s">
        <v>476</v>
      </c>
      <c r="B114" s="116" t="s">
        <v>1163</v>
      </c>
      <c r="C114" s="125">
        <v>30.89</v>
      </c>
      <c r="D114" s="125">
        <v>284.11</v>
      </c>
      <c r="E114" s="125">
        <v>143.66999999999999</v>
      </c>
      <c r="F114" s="116">
        <f t="shared" si="1"/>
        <v>458.66999999999996</v>
      </c>
    </row>
    <row r="115" spans="1:6">
      <c r="A115" s="116" t="s">
        <v>48</v>
      </c>
      <c r="B115" s="116" t="s">
        <v>1164</v>
      </c>
      <c r="C115" s="125">
        <v>67.33</v>
      </c>
      <c r="D115" s="125">
        <v>491.67</v>
      </c>
      <c r="E115" s="125">
        <v>220.89</v>
      </c>
      <c r="F115" s="116">
        <f t="shared" si="1"/>
        <v>779.89</v>
      </c>
    </row>
    <row r="116" spans="1:6">
      <c r="A116" s="116" t="s">
        <v>281</v>
      </c>
      <c r="B116" s="116" t="s">
        <v>1165</v>
      </c>
      <c r="C116" s="125">
        <v>155.56</v>
      </c>
      <c r="D116" s="125">
        <v>1037.8900000000001</v>
      </c>
      <c r="E116" s="125">
        <v>557.33000000000004</v>
      </c>
      <c r="F116" s="116">
        <f t="shared" si="1"/>
        <v>1750.7800000000002</v>
      </c>
    </row>
    <row r="117" spans="1:6">
      <c r="A117" s="116" t="s">
        <v>567</v>
      </c>
      <c r="B117" s="116" t="s">
        <v>1166</v>
      </c>
      <c r="C117" s="125">
        <v>127.33</v>
      </c>
      <c r="D117" s="125">
        <v>865</v>
      </c>
      <c r="E117" s="125">
        <v>537.78</v>
      </c>
      <c r="F117" s="116">
        <f t="shared" si="1"/>
        <v>1530.1100000000001</v>
      </c>
    </row>
    <row r="118" spans="1:6">
      <c r="A118" s="116" t="s">
        <v>1050</v>
      </c>
      <c r="B118" s="116" t="s">
        <v>1047</v>
      </c>
      <c r="C118" s="125">
        <v>0</v>
      </c>
      <c r="D118" s="125">
        <v>29.11</v>
      </c>
      <c r="E118" s="125">
        <v>0.33</v>
      </c>
      <c r="F118" s="116">
        <f t="shared" si="1"/>
        <v>29.439999999999998</v>
      </c>
    </row>
    <row r="119" spans="1:6">
      <c r="A119" s="116" t="s">
        <v>881</v>
      </c>
      <c r="B119" s="116" t="s">
        <v>996</v>
      </c>
      <c r="C119" s="125">
        <v>0</v>
      </c>
      <c r="D119" s="125">
        <v>17.559999999999999</v>
      </c>
      <c r="E119" s="125">
        <v>0.89</v>
      </c>
      <c r="F119" s="116">
        <f t="shared" si="1"/>
        <v>18.45</v>
      </c>
    </row>
    <row r="120" spans="1:6">
      <c r="A120" s="116" t="s">
        <v>406</v>
      </c>
      <c r="B120" s="116" t="s">
        <v>1167</v>
      </c>
      <c r="C120" s="125">
        <v>1</v>
      </c>
      <c r="D120" s="125">
        <v>4.33</v>
      </c>
      <c r="E120" s="125">
        <v>0.44</v>
      </c>
      <c r="F120" s="116">
        <f t="shared" si="1"/>
        <v>5.7700000000000005</v>
      </c>
    </row>
    <row r="121" spans="1:6">
      <c r="A121" s="116" t="s">
        <v>234</v>
      </c>
      <c r="B121" s="116" t="s">
        <v>1168</v>
      </c>
      <c r="C121" s="125">
        <v>4.22</v>
      </c>
      <c r="D121" s="125">
        <v>6.44</v>
      </c>
      <c r="E121" s="125">
        <v>2</v>
      </c>
      <c r="F121" s="116">
        <f t="shared" si="1"/>
        <v>12.66</v>
      </c>
    </row>
    <row r="122" spans="1:6">
      <c r="A122" s="116" t="s">
        <v>260</v>
      </c>
      <c r="B122" s="116" t="s">
        <v>1169</v>
      </c>
      <c r="C122" s="125">
        <v>3.33</v>
      </c>
      <c r="D122" s="125">
        <v>26</v>
      </c>
      <c r="E122" s="125">
        <v>4.8899999999999997</v>
      </c>
      <c r="F122" s="116">
        <f t="shared" si="1"/>
        <v>34.22</v>
      </c>
    </row>
    <row r="123" spans="1:6">
      <c r="A123" s="116" t="s">
        <v>240</v>
      </c>
      <c r="B123" s="116" t="s">
        <v>1170</v>
      </c>
      <c r="C123" s="125">
        <v>34</v>
      </c>
      <c r="D123" s="125">
        <v>256.11</v>
      </c>
      <c r="E123" s="125">
        <v>131.78</v>
      </c>
      <c r="F123" s="116">
        <f t="shared" si="1"/>
        <v>421.89</v>
      </c>
    </row>
    <row r="124" spans="1:6">
      <c r="A124" s="116" t="s">
        <v>482</v>
      </c>
      <c r="B124" s="116" t="s">
        <v>1171</v>
      </c>
      <c r="C124" s="125">
        <v>4</v>
      </c>
      <c r="D124" s="125">
        <v>62</v>
      </c>
      <c r="E124" s="125">
        <v>21.67</v>
      </c>
      <c r="F124" s="116">
        <f t="shared" si="1"/>
        <v>87.67</v>
      </c>
    </row>
    <row r="125" spans="1:6">
      <c r="A125" s="116" t="s">
        <v>23</v>
      </c>
      <c r="B125" s="116" t="s">
        <v>1172</v>
      </c>
      <c r="C125" s="125">
        <v>14.22</v>
      </c>
      <c r="D125" s="125">
        <v>103.78</v>
      </c>
      <c r="E125" s="125">
        <v>30.22</v>
      </c>
      <c r="F125" s="116">
        <f t="shared" si="1"/>
        <v>148.22</v>
      </c>
    </row>
    <row r="126" spans="1:6">
      <c r="A126" s="116" t="s">
        <v>94</v>
      </c>
      <c r="B126" s="116" t="s">
        <v>1173</v>
      </c>
      <c r="C126" s="125">
        <v>8.44</v>
      </c>
      <c r="D126" s="125">
        <v>52.22</v>
      </c>
      <c r="E126" s="125">
        <v>24.67</v>
      </c>
      <c r="F126" s="116">
        <f t="shared" si="1"/>
        <v>85.33</v>
      </c>
    </row>
    <row r="127" spans="1:6">
      <c r="A127" s="116" t="s">
        <v>419</v>
      </c>
      <c r="B127" s="116" t="s">
        <v>1174</v>
      </c>
      <c r="C127" s="125">
        <v>0.89</v>
      </c>
      <c r="D127" s="125">
        <v>5</v>
      </c>
      <c r="E127" s="125">
        <v>0.44</v>
      </c>
      <c r="F127" s="116">
        <f t="shared" si="1"/>
        <v>6.33</v>
      </c>
    </row>
    <row r="128" spans="1:6">
      <c r="A128" s="116" t="s">
        <v>207</v>
      </c>
      <c r="B128" s="116" t="s">
        <v>1175</v>
      </c>
      <c r="C128" s="125">
        <v>2.89</v>
      </c>
      <c r="D128" s="125">
        <v>44.78</v>
      </c>
      <c r="E128" s="125">
        <v>49</v>
      </c>
      <c r="F128" s="116">
        <f t="shared" si="1"/>
        <v>96.67</v>
      </c>
    </row>
    <row r="129" spans="1:6">
      <c r="A129" s="116" t="s">
        <v>75</v>
      </c>
      <c r="B129" s="116" t="s">
        <v>1176</v>
      </c>
      <c r="C129" s="125">
        <v>4</v>
      </c>
      <c r="D129" s="125">
        <v>27.56</v>
      </c>
      <c r="E129" s="125">
        <v>15.67</v>
      </c>
      <c r="F129" s="116">
        <f t="shared" si="1"/>
        <v>47.23</v>
      </c>
    </row>
    <row r="130" spans="1:6">
      <c r="A130" s="116" t="s">
        <v>53</v>
      </c>
      <c r="B130" s="116" t="s">
        <v>1177</v>
      </c>
      <c r="C130" s="125">
        <v>3.44</v>
      </c>
      <c r="D130" s="125">
        <v>48</v>
      </c>
      <c r="E130" s="125">
        <v>28</v>
      </c>
      <c r="F130" s="116">
        <f t="shared" si="1"/>
        <v>79.44</v>
      </c>
    </row>
    <row r="131" spans="1:6">
      <c r="A131" s="116" t="s">
        <v>312</v>
      </c>
      <c r="B131" s="116" t="s">
        <v>1178</v>
      </c>
      <c r="C131" s="125">
        <v>9</v>
      </c>
      <c r="D131" s="125">
        <v>66</v>
      </c>
      <c r="E131" s="125">
        <v>50.11</v>
      </c>
      <c r="F131" s="116">
        <f t="shared" ref="F131:F194" si="2">C131+D131+E131</f>
        <v>125.11</v>
      </c>
    </row>
    <row r="132" spans="1:6">
      <c r="A132" s="116" t="s">
        <v>16</v>
      </c>
      <c r="B132" s="116" t="s">
        <v>1179</v>
      </c>
      <c r="C132" s="125">
        <v>2.67</v>
      </c>
      <c r="D132" s="125">
        <v>14.67</v>
      </c>
      <c r="E132" s="125">
        <v>5.1100000000000003</v>
      </c>
      <c r="F132" s="116">
        <f t="shared" si="2"/>
        <v>22.45</v>
      </c>
    </row>
    <row r="133" spans="1:6">
      <c r="A133" s="116" t="s">
        <v>262</v>
      </c>
      <c r="B133" s="116" t="s">
        <v>1180</v>
      </c>
      <c r="C133" s="125">
        <v>8.56</v>
      </c>
      <c r="D133" s="125">
        <v>59</v>
      </c>
      <c r="E133" s="125">
        <v>59.11</v>
      </c>
      <c r="F133" s="116">
        <f t="shared" si="2"/>
        <v>126.67</v>
      </c>
    </row>
    <row r="134" spans="1:6">
      <c r="A134" s="116" t="s">
        <v>114</v>
      </c>
      <c r="B134" s="116" t="s">
        <v>1181</v>
      </c>
      <c r="C134" s="125">
        <v>9.44</v>
      </c>
      <c r="D134" s="125">
        <v>81.78</v>
      </c>
      <c r="E134" s="125">
        <v>57.33</v>
      </c>
      <c r="F134" s="116">
        <f t="shared" si="2"/>
        <v>148.55000000000001</v>
      </c>
    </row>
    <row r="135" spans="1:6">
      <c r="A135" s="116" t="s">
        <v>393</v>
      </c>
      <c r="B135" s="116" t="s">
        <v>1182</v>
      </c>
      <c r="C135" s="125">
        <v>5.78</v>
      </c>
      <c r="D135" s="125">
        <v>28.78</v>
      </c>
      <c r="E135" s="125">
        <v>18.559999999999999</v>
      </c>
      <c r="F135" s="116">
        <f t="shared" si="2"/>
        <v>53.120000000000005</v>
      </c>
    </row>
    <row r="136" spans="1:6">
      <c r="A136" s="116" t="s">
        <v>287</v>
      </c>
      <c r="B136" s="116" t="s">
        <v>1183</v>
      </c>
      <c r="C136" s="125">
        <v>23.33</v>
      </c>
      <c r="D136" s="125">
        <v>211.89</v>
      </c>
      <c r="E136" s="125">
        <v>173.56</v>
      </c>
      <c r="F136" s="116">
        <f t="shared" si="2"/>
        <v>408.78</v>
      </c>
    </row>
    <row r="137" spans="1:6">
      <c r="A137" s="116" t="s">
        <v>300</v>
      </c>
      <c r="B137" s="116" t="s">
        <v>1184</v>
      </c>
      <c r="C137" s="125">
        <v>1</v>
      </c>
      <c r="D137" s="125">
        <v>41</v>
      </c>
      <c r="E137" s="125">
        <v>20.67</v>
      </c>
      <c r="F137" s="116">
        <f t="shared" si="2"/>
        <v>62.67</v>
      </c>
    </row>
    <row r="138" spans="1:6">
      <c r="A138" s="116" t="s">
        <v>285</v>
      </c>
      <c r="B138" s="116" t="s">
        <v>1185</v>
      </c>
      <c r="C138" s="125">
        <v>32.44</v>
      </c>
      <c r="D138" s="125">
        <v>268.77999999999997</v>
      </c>
      <c r="E138" s="125">
        <v>195.22</v>
      </c>
      <c r="F138" s="116">
        <f t="shared" si="2"/>
        <v>496.43999999999994</v>
      </c>
    </row>
    <row r="139" spans="1:6">
      <c r="A139" s="116" t="s">
        <v>541</v>
      </c>
      <c r="B139" s="116" t="s">
        <v>1186</v>
      </c>
      <c r="C139" s="125">
        <v>0.22</v>
      </c>
      <c r="D139" s="125">
        <v>13.11</v>
      </c>
      <c r="E139" s="125">
        <v>1.78</v>
      </c>
      <c r="F139" s="116">
        <f t="shared" si="2"/>
        <v>15.11</v>
      </c>
    </row>
    <row r="140" spans="1:6">
      <c r="A140" s="116" t="s">
        <v>368</v>
      </c>
      <c r="B140" s="116" t="s">
        <v>1187</v>
      </c>
      <c r="C140" s="125">
        <v>1</v>
      </c>
      <c r="D140" s="125">
        <v>44.89</v>
      </c>
      <c r="E140" s="125">
        <v>34.22</v>
      </c>
      <c r="F140" s="116">
        <f t="shared" si="2"/>
        <v>80.11</v>
      </c>
    </row>
    <row r="141" spans="1:6">
      <c r="A141" s="116" t="s">
        <v>55</v>
      </c>
      <c r="B141" s="116" t="s">
        <v>1188</v>
      </c>
      <c r="C141" s="125">
        <v>0</v>
      </c>
      <c r="D141" s="125">
        <v>10.44</v>
      </c>
      <c r="E141" s="125">
        <v>0.56000000000000005</v>
      </c>
      <c r="F141" s="116">
        <f t="shared" si="2"/>
        <v>11</v>
      </c>
    </row>
    <row r="142" spans="1:6">
      <c r="A142" s="116" t="s">
        <v>145</v>
      </c>
      <c r="B142" s="116" t="s">
        <v>1189</v>
      </c>
      <c r="C142" s="125">
        <v>0.44</v>
      </c>
      <c r="D142" s="125">
        <v>17.329999999999998</v>
      </c>
      <c r="E142" s="125">
        <v>4.78</v>
      </c>
      <c r="F142" s="116">
        <f t="shared" si="2"/>
        <v>22.55</v>
      </c>
    </row>
    <row r="143" spans="1:6">
      <c r="A143" s="116" t="s">
        <v>106</v>
      </c>
      <c r="B143" s="116" t="s">
        <v>1190</v>
      </c>
      <c r="C143" s="125">
        <v>4.78</v>
      </c>
      <c r="D143" s="125">
        <v>14.33</v>
      </c>
      <c r="E143" s="125">
        <v>9.67</v>
      </c>
      <c r="F143" s="116">
        <f t="shared" si="2"/>
        <v>28.78</v>
      </c>
    </row>
    <row r="144" spans="1:6">
      <c r="A144" s="116" t="s">
        <v>306</v>
      </c>
      <c r="B144" s="116" t="s">
        <v>1191</v>
      </c>
      <c r="C144" s="125">
        <v>1.78</v>
      </c>
      <c r="D144" s="125">
        <v>33.11</v>
      </c>
      <c r="E144" s="125">
        <v>9.44</v>
      </c>
      <c r="F144" s="116">
        <f t="shared" si="2"/>
        <v>44.33</v>
      </c>
    </row>
    <row r="145" spans="1:6">
      <c r="A145" s="116" t="s">
        <v>447</v>
      </c>
      <c r="B145" s="116" t="s">
        <v>1192</v>
      </c>
      <c r="C145" s="125">
        <v>1.1100000000000001</v>
      </c>
      <c r="D145" s="125">
        <v>22.33</v>
      </c>
      <c r="E145" s="125">
        <v>3</v>
      </c>
      <c r="F145" s="116">
        <f t="shared" si="2"/>
        <v>26.439999999999998</v>
      </c>
    </row>
    <row r="146" spans="1:6">
      <c r="A146" s="116" t="s">
        <v>226</v>
      </c>
      <c r="B146" s="116" t="s">
        <v>1193</v>
      </c>
      <c r="C146" s="125">
        <v>5.67</v>
      </c>
      <c r="D146" s="125">
        <v>54.78</v>
      </c>
      <c r="E146" s="125">
        <v>17.89</v>
      </c>
      <c r="F146" s="116">
        <f t="shared" si="2"/>
        <v>78.34</v>
      </c>
    </row>
    <row r="147" spans="1:6">
      <c r="A147" s="116" t="s">
        <v>571</v>
      </c>
      <c r="B147" s="116" t="s">
        <v>1194</v>
      </c>
      <c r="C147" s="125">
        <v>0</v>
      </c>
      <c r="D147" s="125">
        <v>22.44</v>
      </c>
      <c r="E147" s="125">
        <v>8.2200000000000006</v>
      </c>
      <c r="F147" s="116">
        <f t="shared" si="2"/>
        <v>30.660000000000004</v>
      </c>
    </row>
    <row r="148" spans="1:6">
      <c r="A148" s="116" t="s">
        <v>439</v>
      </c>
      <c r="B148" s="116" t="s">
        <v>1195</v>
      </c>
      <c r="C148" s="125">
        <v>1.56</v>
      </c>
      <c r="D148" s="125">
        <v>25.67</v>
      </c>
      <c r="E148" s="125">
        <v>0.44</v>
      </c>
      <c r="F148" s="116">
        <f t="shared" si="2"/>
        <v>27.67</v>
      </c>
    </row>
    <row r="149" spans="1:6">
      <c r="A149" s="116" t="s">
        <v>561</v>
      </c>
      <c r="B149" s="116" t="s">
        <v>1196</v>
      </c>
      <c r="C149" s="125">
        <v>77.33</v>
      </c>
      <c r="D149" s="125">
        <v>420</v>
      </c>
      <c r="E149" s="125">
        <v>132.44</v>
      </c>
      <c r="F149" s="116">
        <f t="shared" si="2"/>
        <v>629.77</v>
      </c>
    </row>
    <row r="150" spans="1:6">
      <c r="A150" s="116" t="s">
        <v>496</v>
      </c>
      <c r="B150" s="116" t="s">
        <v>1197</v>
      </c>
      <c r="C150" s="125">
        <v>0.89</v>
      </c>
      <c r="D150" s="125">
        <v>202.56</v>
      </c>
      <c r="E150" s="125">
        <v>32.89</v>
      </c>
      <c r="F150" s="116">
        <f t="shared" si="2"/>
        <v>236.33999999999997</v>
      </c>
    </row>
    <row r="151" spans="1:6">
      <c r="A151" s="116" t="s">
        <v>397</v>
      </c>
      <c r="B151" s="116" t="s">
        <v>1198</v>
      </c>
      <c r="C151" s="125">
        <v>13</v>
      </c>
      <c r="D151" s="125">
        <v>94.33</v>
      </c>
      <c r="E151" s="125">
        <v>15.33</v>
      </c>
      <c r="F151" s="116">
        <f t="shared" si="2"/>
        <v>122.66</v>
      </c>
    </row>
    <row r="152" spans="1:6">
      <c r="A152" s="116" t="s">
        <v>50</v>
      </c>
      <c r="B152" s="116" t="s">
        <v>1199</v>
      </c>
      <c r="C152" s="125">
        <v>29</v>
      </c>
      <c r="D152" s="125">
        <v>260.11</v>
      </c>
      <c r="E152" s="125">
        <v>70.89</v>
      </c>
      <c r="F152" s="116">
        <f t="shared" si="2"/>
        <v>360</v>
      </c>
    </row>
    <row r="153" spans="1:6">
      <c r="A153" s="116" t="s">
        <v>336</v>
      </c>
      <c r="B153" s="116" t="s">
        <v>1200</v>
      </c>
      <c r="C153" s="125">
        <v>0.78</v>
      </c>
      <c r="D153" s="125">
        <v>33.67</v>
      </c>
      <c r="E153" s="125">
        <v>4.8899999999999997</v>
      </c>
      <c r="F153" s="116">
        <f t="shared" si="2"/>
        <v>39.340000000000003</v>
      </c>
    </row>
    <row r="154" spans="1:6">
      <c r="A154" s="116" t="s">
        <v>97</v>
      </c>
      <c r="B154" s="116" t="s">
        <v>1568</v>
      </c>
      <c r="C154" s="125">
        <v>1.78</v>
      </c>
      <c r="D154" s="125">
        <v>23.89</v>
      </c>
      <c r="E154" s="125">
        <v>0.78</v>
      </c>
      <c r="F154" s="116">
        <f t="shared" si="2"/>
        <v>26.450000000000003</v>
      </c>
    </row>
    <row r="155" spans="1:6">
      <c r="A155" s="116" t="s">
        <v>112</v>
      </c>
      <c r="B155" s="116" t="s">
        <v>1201</v>
      </c>
      <c r="C155" s="125">
        <v>36.44</v>
      </c>
      <c r="D155" s="125">
        <v>769.67</v>
      </c>
      <c r="E155" s="125">
        <v>157.56</v>
      </c>
      <c r="F155" s="116">
        <f t="shared" si="2"/>
        <v>963.66999999999985</v>
      </c>
    </row>
    <row r="156" spans="1:6">
      <c r="A156" s="116" t="s">
        <v>108</v>
      </c>
      <c r="B156" s="116" t="s">
        <v>1202</v>
      </c>
      <c r="C156" s="125">
        <v>9.56</v>
      </c>
      <c r="D156" s="125">
        <v>124.11</v>
      </c>
      <c r="E156" s="125">
        <v>25.78</v>
      </c>
      <c r="F156" s="116">
        <f t="shared" si="2"/>
        <v>159.44999999999999</v>
      </c>
    </row>
    <row r="157" spans="1:6">
      <c r="A157" s="116" t="s">
        <v>526</v>
      </c>
      <c r="B157" s="116" t="s">
        <v>1203</v>
      </c>
      <c r="C157" s="125">
        <v>10.56</v>
      </c>
      <c r="D157" s="125">
        <v>71.44</v>
      </c>
      <c r="E157" s="125">
        <v>27.56</v>
      </c>
      <c r="F157" s="116">
        <f t="shared" si="2"/>
        <v>109.56</v>
      </c>
    </row>
    <row r="158" spans="1:6">
      <c r="A158" s="116" t="s">
        <v>388</v>
      </c>
      <c r="B158" s="116" t="s">
        <v>1204</v>
      </c>
      <c r="C158" s="125">
        <v>2.2200000000000002</v>
      </c>
      <c r="D158" s="125">
        <v>32.67</v>
      </c>
      <c r="E158" s="125">
        <v>10.67</v>
      </c>
      <c r="F158" s="116">
        <f t="shared" si="2"/>
        <v>45.56</v>
      </c>
    </row>
    <row r="159" spans="1:6">
      <c r="A159" s="116" t="s">
        <v>264</v>
      </c>
      <c r="B159" s="116" t="s">
        <v>1205</v>
      </c>
      <c r="C159" s="125">
        <v>11.67</v>
      </c>
      <c r="D159" s="125">
        <v>77.67</v>
      </c>
      <c r="E159" s="125">
        <v>42.56</v>
      </c>
      <c r="F159" s="116">
        <f t="shared" si="2"/>
        <v>131.9</v>
      </c>
    </row>
    <row r="160" spans="1:6">
      <c r="A160" s="116" t="s">
        <v>163</v>
      </c>
      <c r="B160" s="116" t="s">
        <v>1206</v>
      </c>
      <c r="C160" s="125">
        <v>4</v>
      </c>
      <c r="D160" s="125">
        <v>50.67</v>
      </c>
      <c r="E160" s="125">
        <v>13.78</v>
      </c>
      <c r="F160" s="116">
        <f t="shared" si="2"/>
        <v>68.45</v>
      </c>
    </row>
    <row r="161" spans="1:6">
      <c r="A161" s="116" t="s">
        <v>85</v>
      </c>
      <c r="B161" s="116" t="s">
        <v>1207</v>
      </c>
      <c r="C161" s="125">
        <v>6.89</v>
      </c>
      <c r="D161" s="125">
        <v>25.33</v>
      </c>
      <c r="E161" s="125">
        <v>48</v>
      </c>
      <c r="F161" s="116">
        <f t="shared" si="2"/>
        <v>80.22</v>
      </c>
    </row>
    <row r="162" spans="1:6">
      <c r="A162" s="116" t="s">
        <v>308</v>
      </c>
      <c r="B162" s="116" t="s">
        <v>1208</v>
      </c>
      <c r="C162" s="125">
        <v>1.67</v>
      </c>
      <c r="D162" s="125">
        <v>26.89</v>
      </c>
      <c r="E162" s="125">
        <v>19.11</v>
      </c>
      <c r="F162" s="116">
        <f t="shared" si="2"/>
        <v>47.67</v>
      </c>
    </row>
    <row r="163" spans="1:6">
      <c r="A163" s="116" t="s">
        <v>316</v>
      </c>
      <c r="B163" s="116" t="s">
        <v>1209</v>
      </c>
      <c r="C163" s="125">
        <v>0</v>
      </c>
      <c r="D163" s="125">
        <v>8.11</v>
      </c>
      <c r="E163" s="125">
        <v>0.11</v>
      </c>
      <c r="F163" s="116">
        <f t="shared" si="2"/>
        <v>8.2199999999999989</v>
      </c>
    </row>
    <row r="164" spans="1:6">
      <c r="A164" s="116" t="s">
        <v>99</v>
      </c>
      <c r="B164" s="116" t="s">
        <v>1210</v>
      </c>
      <c r="C164" s="125">
        <v>8.33</v>
      </c>
      <c r="D164" s="125">
        <v>61.89</v>
      </c>
      <c r="E164" s="125">
        <v>102</v>
      </c>
      <c r="F164" s="116">
        <f t="shared" si="2"/>
        <v>172.22</v>
      </c>
    </row>
    <row r="165" spans="1:6">
      <c r="A165" s="116" t="s">
        <v>404</v>
      </c>
      <c r="B165" s="116" t="s">
        <v>1211</v>
      </c>
      <c r="C165" s="125">
        <v>2.56</v>
      </c>
      <c r="D165" s="125">
        <v>33.11</v>
      </c>
      <c r="E165" s="125">
        <v>11.33</v>
      </c>
      <c r="F165" s="116">
        <f t="shared" si="2"/>
        <v>47</v>
      </c>
    </row>
    <row r="166" spans="1:6">
      <c r="A166" s="116" t="s">
        <v>555</v>
      </c>
      <c r="B166" s="116" t="s">
        <v>1212</v>
      </c>
      <c r="C166" s="125">
        <v>6.33</v>
      </c>
      <c r="D166" s="125">
        <v>27.78</v>
      </c>
      <c r="E166" s="125">
        <v>17.22</v>
      </c>
      <c r="F166" s="116">
        <f t="shared" si="2"/>
        <v>51.33</v>
      </c>
    </row>
    <row r="167" spans="1:6">
      <c r="A167" s="116" t="s">
        <v>65</v>
      </c>
      <c r="B167" s="116" t="s">
        <v>1213</v>
      </c>
      <c r="C167" s="125">
        <v>29.11</v>
      </c>
      <c r="D167" s="125">
        <v>269.22000000000003</v>
      </c>
      <c r="E167" s="125">
        <v>135.22</v>
      </c>
      <c r="F167" s="116">
        <f t="shared" si="2"/>
        <v>433.55000000000007</v>
      </c>
    </row>
    <row r="168" spans="1:6">
      <c r="A168" s="116" t="s">
        <v>352</v>
      </c>
      <c r="B168" s="116" t="s">
        <v>1214</v>
      </c>
      <c r="C168" s="125">
        <v>258.56</v>
      </c>
      <c r="D168" s="125">
        <v>1354.67</v>
      </c>
      <c r="E168" s="125">
        <v>1165.44</v>
      </c>
      <c r="F168" s="116">
        <f t="shared" si="2"/>
        <v>2778.67</v>
      </c>
    </row>
    <row r="169" spans="1:6">
      <c r="A169" s="116" t="s">
        <v>250</v>
      </c>
      <c r="B169" s="116" t="s">
        <v>1215</v>
      </c>
      <c r="C169" s="125">
        <v>318.44</v>
      </c>
      <c r="D169" s="125">
        <v>2427.44</v>
      </c>
      <c r="E169" s="125">
        <v>1483.67</v>
      </c>
      <c r="F169" s="116">
        <f t="shared" si="2"/>
        <v>4229.55</v>
      </c>
    </row>
    <row r="170" spans="1:6">
      <c r="A170" s="116" t="s">
        <v>538</v>
      </c>
      <c r="B170" s="116" t="s">
        <v>1216</v>
      </c>
      <c r="C170" s="125">
        <v>2.78</v>
      </c>
      <c r="D170" s="125">
        <v>22.44</v>
      </c>
      <c r="E170" s="125">
        <v>5.56</v>
      </c>
      <c r="F170" s="116">
        <f t="shared" si="2"/>
        <v>30.78</v>
      </c>
    </row>
    <row r="171" spans="1:6">
      <c r="A171" s="116" t="s">
        <v>193</v>
      </c>
      <c r="B171" s="116" t="s">
        <v>1217</v>
      </c>
      <c r="C171" s="125">
        <v>44.44</v>
      </c>
      <c r="D171" s="125">
        <v>277.56</v>
      </c>
      <c r="E171" s="125">
        <v>260.67</v>
      </c>
      <c r="F171" s="116">
        <f t="shared" si="2"/>
        <v>582.67000000000007</v>
      </c>
    </row>
    <row r="172" spans="1:6">
      <c r="A172" s="116" t="s">
        <v>246</v>
      </c>
      <c r="B172" s="116" t="s">
        <v>1218</v>
      </c>
      <c r="C172" s="125">
        <v>114.78</v>
      </c>
      <c r="D172" s="125">
        <v>718.67</v>
      </c>
      <c r="E172" s="125">
        <v>445.56</v>
      </c>
      <c r="F172" s="116">
        <f t="shared" si="2"/>
        <v>1279.01</v>
      </c>
    </row>
    <row r="173" spans="1:6">
      <c r="A173" s="116" t="s">
        <v>357</v>
      </c>
      <c r="B173" s="116" t="s">
        <v>1219</v>
      </c>
      <c r="C173" s="125">
        <v>22.78</v>
      </c>
      <c r="D173" s="125">
        <v>78.56</v>
      </c>
      <c r="E173" s="125">
        <v>75.67</v>
      </c>
      <c r="F173" s="116">
        <f t="shared" si="2"/>
        <v>177.01</v>
      </c>
    </row>
    <row r="174" spans="1:6">
      <c r="A174" s="116" t="s">
        <v>165</v>
      </c>
      <c r="B174" s="116" t="s">
        <v>1220</v>
      </c>
      <c r="C174" s="125">
        <v>38.33</v>
      </c>
      <c r="D174" s="125">
        <v>210.22</v>
      </c>
      <c r="E174" s="125">
        <v>173.56</v>
      </c>
      <c r="F174" s="116">
        <f t="shared" si="2"/>
        <v>422.11</v>
      </c>
    </row>
    <row r="175" spans="1:6">
      <c r="A175" s="116" t="s">
        <v>25</v>
      </c>
      <c r="B175" s="116" t="s">
        <v>1221</v>
      </c>
      <c r="C175" s="125">
        <v>206.11</v>
      </c>
      <c r="D175" s="125">
        <v>894.67</v>
      </c>
      <c r="E175" s="125">
        <v>866.89</v>
      </c>
      <c r="F175" s="116">
        <f t="shared" si="2"/>
        <v>1967.67</v>
      </c>
    </row>
    <row r="176" spans="1:6">
      <c r="A176" s="116" t="s">
        <v>395</v>
      </c>
      <c r="B176" s="116" t="s">
        <v>1222</v>
      </c>
      <c r="C176" s="125">
        <v>91.11</v>
      </c>
      <c r="D176" s="125">
        <v>729</v>
      </c>
      <c r="E176" s="125">
        <v>395.56</v>
      </c>
      <c r="F176" s="116">
        <f t="shared" si="2"/>
        <v>1215.67</v>
      </c>
    </row>
    <row r="177" spans="1:6">
      <c r="A177" s="116" t="s">
        <v>426</v>
      </c>
      <c r="B177" s="116" t="s">
        <v>1223</v>
      </c>
      <c r="C177" s="125">
        <v>91.67</v>
      </c>
      <c r="D177" s="125">
        <v>467</v>
      </c>
      <c r="E177" s="125">
        <v>482.56</v>
      </c>
      <c r="F177" s="116">
        <f t="shared" si="2"/>
        <v>1041.23</v>
      </c>
    </row>
    <row r="178" spans="1:6">
      <c r="A178" s="116" t="s">
        <v>201</v>
      </c>
      <c r="B178" s="116" t="s">
        <v>1224</v>
      </c>
      <c r="C178" s="125">
        <v>201.33</v>
      </c>
      <c r="D178" s="125">
        <v>1446.22</v>
      </c>
      <c r="E178" s="125">
        <v>1136.8900000000001</v>
      </c>
      <c r="F178" s="116">
        <f t="shared" si="2"/>
        <v>2784.44</v>
      </c>
    </row>
    <row r="179" spans="1:6">
      <c r="A179" s="116" t="s">
        <v>236</v>
      </c>
      <c r="B179" s="116" t="s">
        <v>1225</v>
      </c>
      <c r="C179" s="125">
        <v>23.78</v>
      </c>
      <c r="D179" s="125">
        <v>136</v>
      </c>
      <c r="E179" s="125">
        <v>76.44</v>
      </c>
      <c r="F179" s="116">
        <f t="shared" si="2"/>
        <v>236.22</v>
      </c>
    </row>
    <row r="180" spans="1:6">
      <c r="A180" s="116" t="s">
        <v>302</v>
      </c>
      <c r="B180" s="116" t="s">
        <v>1226</v>
      </c>
      <c r="C180" s="125">
        <v>52.22</v>
      </c>
      <c r="D180" s="125">
        <v>346.11</v>
      </c>
      <c r="E180" s="125">
        <v>220.56</v>
      </c>
      <c r="F180" s="116">
        <f t="shared" si="2"/>
        <v>618.8900000000001</v>
      </c>
    </row>
    <row r="181" spans="1:6">
      <c r="A181" s="116" t="s">
        <v>422</v>
      </c>
      <c r="B181" s="116" t="s">
        <v>1227</v>
      </c>
      <c r="C181" s="125">
        <v>42.67</v>
      </c>
      <c r="D181" s="125">
        <v>181.89</v>
      </c>
      <c r="E181" s="125">
        <v>212.44</v>
      </c>
      <c r="F181" s="116">
        <f t="shared" si="2"/>
        <v>437</v>
      </c>
    </row>
    <row r="182" spans="1:6">
      <c r="A182" s="116" t="s">
        <v>1013</v>
      </c>
      <c r="B182" s="116" t="s">
        <v>1228</v>
      </c>
      <c r="C182" s="125">
        <v>0</v>
      </c>
      <c r="D182" s="125">
        <v>111.67</v>
      </c>
      <c r="E182" s="125">
        <v>0</v>
      </c>
      <c r="F182" s="116">
        <f t="shared" si="2"/>
        <v>111.67</v>
      </c>
    </row>
    <row r="183" spans="1:6">
      <c r="A183" s="116" t="s">
        <v>1509</v>
      </c>
      <c r="B183" s="116" t="s">
        <v>1569</v>
      </c>
      <c r="C183" s="125">
        <v>0.33</v>
      </c>
      <c r="D183" s="125">
        <v>10.83</v>
      </c>
      <c r="E183" s="125">
        <v>0.17</v>
      </c>
      <c r="F183" s="116">
        <f t="shared" si="2"/>
        <v>11.33</v>
      </c>
    </row>
    <row r="184" spans="1:6">
      <c r="A184" s="116" t="s">
        <v>934</v>
      </c>
      <c r="B184" s="116" t="s">
        <v>1229</v>
      </c>
      <c r="C184" s="125">
        <v>0</v>
      </c>
      <c r="D184" s="125">
        <v>24.22</v>
      </c>
      <c r="E184" s="125">
        <v>2</v>
      </c>
      <c r="F184" s="116">
        <f t="shared" si="2"/>
        <v>26.22</v>
      </c>
    </row>
    <row r="185" spans="1:6">
      <c r="A185" s="116" t="s">
        <v>559</v>
      </c>
      <c r="B185" s="116" t="s">
        <v>1230</v>
      </c>
      <c r="C185" s="125">
        <v>0</v>
      </c>
      <c r="D185" s="125">
        <v>0</v>
      </c>
      <c r="E185" s="125">
        <v>0</v>
      </c>
      <c r="F185" s="116">
        <f t="shared" si="2"/>
        <v>0</v>
      </c>
    </row>
    <row r="186" spans="1:6">
      <c r="A186" s="116" t="s">
        <v>118</v>
      </c>
      <c r="B186" s="116" t="s">
        <v>1231</v>
      </c>
      <c r="C186" s="125">
        <v>9.33</v>
      </c>
      <c r="D186" s="125">
        <v>70.89</v>
      </c>
      <c r="E186" s="125">
        <v>9.33</v>
      </c>
      <c r="F186" s="116">
        <f t="shared" si="2"/>
        <v>89.55</v>
      </c>
    </row>
    <row r="187" spans="1:6">
      <c r="A187" s="116" t="s">
        <v>470</v>
      </c>
      <c r="B187" s="116" t="s">
        <v>1232</v>
      </c>
      <c r="C187" s="125">
        <v>1.1100000000000001</v>
      </c>
      <c r="D187" s="125">
        <v>38</v>
      </c>
      <c r="E187" s="125">
        <v>5.78</v>
      </c>
      <c r="F187" s="116">
        <f t="shared" si="2"/>
        <v>44.89</v>
      </c>
    </row>
    <row r="188" spans="1:6">
      <c r="A188" s="116" t="s">
        <v>546</v>
      </c>
      <c r="B188" s="116" t="s">
        <v>1233</v>
      </c>
      <c r="C188" s="125">
        <v>5.89</v>
      </c>
      <c r="D188" s="125">
        <v>121.78</v>
      </c>
      <c r="E188" s="125">
        <v>19</v>
      </c>
      <c r="F188" s="116">
        <f t="shared" si="2"/>
        <v>146.67000000000002</v>
      </c>
    </row>
    <row r="189" spans="1:6">
      <c r="A189" s="116" t="s">
        <v>136</v>
      </c>
      <c r="B189" s="116" t="s">
        <v>1234</v>
      </c>
      <c r="C189" s="125">
        <v>1.56</v>
      </c>
      <c r="D189" s="125">
        <v>55.89</v>
      </c>
      <c r="E189" s="125">
        <v>33.67</v>
      </c>
      <c r="F189" s="116">
        <f t="shared" si="2"/>
        <v>91.12</v>
      </c>
    </row>
    <row r="190" spans="1:6">
      <c r="A190" s="116" t="s">
        <v>532</v>
      </c>
      <c r="B190" s="116" t="s">
        <v>1235</v>
      </c>
      <c r="C190" s="125">
        <v>33.11</v>
      </c>
      <c r="D190" s="125">
        <v>352.11</v>
      </c>
      <c r="E190" s="125">
        <v>142</v>
      </c>
      <c r="F190" s="116">
        <f t="shared" si="2"/>
        <v>527.22</v>
      </c>
    </row>
    <row r="191" spans="1:6">
      <c r="A191" s="116" t="s">
        <v>551</v>
      </c>
      <c r="B191" s="116" t="s">
        <v>1236</v>
      </c>
      <c r="C191" s="125">
        <v>57.22</v>
      </c>
      <c r="D191" s="125">
        <v>514.55999999999995</v>
      </c>
      <c r="E191" s="125">
        <v>226.89</v>
      </c>
      <c r="F191" s="116">
        <f t="shared" si="2"/>
        <v>798.67</v>
      </c>
    </row>
    <row r="192" spans="1:6">
      <c r="A192" s="116" t="s">
        <v>182</v>
      </c>
      <c r="B192" s="116" t="s">
        <v>1237</v>
      </c>
      <c r="C192" s="125">
        <v>42</v>
      </c>
      <c r="D192" s="125">
        <v>165.33</v>
      </c>
      <c r="E192" s="125">
        <v>111.78</v>
      </c>
      <c r="F192" s="116">
        <f t="shared" si="2"/>
        <v>319.11</v>
      </c>
    </row>
    <row r="193" spans="1:6">
      <c r="A193" s="116" t="s">
        <v>295</v>
      </c>
      <c r="B193" s="116" t="s">
        <v>1238</v>
      </c>
      <c r="C193" s="125">
        <v>3.56</v>
      </c>
      <c r="D193" s="125">
        <v>69.11</v>
      </c>
      <c r="E193" s="125">
        <v>14.78</v>
      </c>
      <c r="F193" s="116">
        <f t="shared" si="2"/>
        <v>87.45</v>
      </c>
    </row>
    <row r="194" spans="1:6">
      <c r="A194" s="116" t="s">
        <v>138</v>
      </c>
      <c r="B194" s="116" t="s">
        <v>1239</v>
      </c>
      <c r="C194" s="125">
        <v>2</v>
      </c>
      <c r="D194" s="125">
        <v>36.78</v>
      </c>
      <c r="E194" s="125">
        <v>6.89</v>
      </c>
      <c r="F194" s="116">
        <f t="shared" si="2"/>
        <v>45.67</v>
      </c>
    </row>
    <row r="195" spans="1:6">
      <c r="A195" s="116" t="s">
        <v>89</v>
      </c>
      <c r="B195" s="116" t="s">
        <v>1240</v>
      </c>
      <c r="C195" s="125">
        <v>95.89</v>
      </c>
      <c r="D195" s="125">
        <v>502.78</v>
      </c>
      <c r="E195" s="125">
        <v>357.44</v>
      </c>
      <c r="F195" s="116">
        <f t="shared" ref="F195:F258" si="3">C195+D195+E195</f>
        <v>956.1099999999999</v>
      </c>
    </row>
    <row r="196" spans="1:6">
      <c r="A196" s="116" t="s">
        <v>513</v>
      </c>
      <c r="B196" s="116" t="s">
        <v>1241</v>
      </c>
      <c r="C196" s="125">
        <v>221</v>
      </c>
      <c r="D196" s="125">
        <v>1182.22</v>
      </c>
      <c r="E196" s="125">
        <v>1260.8900000000001</v>
      </c>
      <c r="F196" s="116">
        <f t="shared" si="3"/>
        <v>2664.11</v>
      </c>
    </row>
    <row r="197" spans="1:6">
      <c r="A197" s="116" t="s">
        <v>126</v>
      </c>
      <c r="B197" s="116" t="s">
        <v>1242</v>
      </c>
      <c r="C197" s="125">
        <v>138.11000000000001</v>
      </c>
      <c r="D197" s="125">
        <v>716.67</v>
      </c>
      <c r="E197" s="125">
        <v>574.55999999999995</v>
      </c>
      <c r="F197" s="116">
        <f t="shared" si="3"/>
        <v>1429.34</v>
      </c>
    </row>
    <row r="198" spans="1:6">
      <c r="A198" s="116" t="s">
        <v>90</v>
      </c>
      <c r="B198" s="116" t="s">
        <v>1243</v>
      </c>
      <c r="C198" s="125">
        <v>182.78</v>
      </c>
      <c r="D198" s="125">
        <v>1245.8900000000001</v>
      </c>
      <c r="E198" s="125">
        <v>745.89</v>
      </c>
      <c r="F198" s="116">
        <f t="shared" si="3"/>
        <v>2174.56</v>
      </c>
    </row>
    <row r="199" spans="1:6">
      <c r="A199" s="116" t="s">
        <v>238</v>
      </c>
      <c r="B199" s="116" t="s">
        <v>1244</v>
      </c>
      <c r="C199" s="125">
        <v>271.33</v>
      </c>
      <c r="D199" s="125">
        <v>1444.11</v>
      </c>
      <c r="E199" s="125">
        <v>1321.89</v>
      </c>
      <c r="F199" s="116">
        <f t="shared" si="3"/>
        <v>3037.33</v>
      </c>
    </row>
    <row r="200" spans="1:6">
      <c r="A200" s="116" t="s">
        <v>471</v>
      </c>
      <c r="B200" s="116" t="s">
        <v>1245</v>
      </c>
      <c r="C200" s="125">
        <v>53.78</v>
      </c>
      <c r="D200" s="125">
        <v>491.11</v>
      </c>
      <c r="E200" s="125">
        <v>305.77999999999997</v>
      </c>
      <c r="F200" s="116">
        <f t="shared" si="3"/>
        <v>850.67</v>
      </c>
    </row>
    <row r="201" spans="1:6">
      <c r="A201" s="116" t="s">
        <v>499</v>
      </c>
      <c r="B201" s="116" t="s">
        <v>1246</v>
      </c>
      <c r="C201" s="125">
        <v>159.88999999999999</v>
      </c>
      <c r="D201" s="125">
        <v>719.22</v>
      </c>
      <c r="E201" s="125">
        <v>790.44</v>
      </c>
      <c r="F201" s="116">
        <f t="shared" si="3"/>
        <v>1669.5500000000002</v>
      </c>
    </row>
    <row r="202" spans="1:6">
      <c r="A202" s="116" t="s">
        <v>342</v>
      </c>
      <c r="B202" s="116" t="s">
        <v>1247</v>
      </c>
      <c r="C202" s="125">
        <v>0</v>
      </c>
      <c r="D202" s="125">
        <v>3.22</v>
      </c>
      <c r="E202" s="125">
        <v>1</v>
      </c>
      <c r="F202" s="116">
        <f t="shared" si="3"/>
        <v>4.2200000000000006</v>
      </c>
    </row>
    <row r="203" spans="1:6">
      <c r="A203" s="116" t="s">
        <v>71</v>
      </c>
      <c r="B203" s="116" t="s">
        <v>1248</v>
      </c>
      <c r="C203" s="125">
        <v>36.11</v>
      </c>
      <c r="D203" s="125">
        <v>553.33000000000004</v>
      </c>
      <c r="E203" s="125">
        <v>173.67</v>
      </c>
      <c r="F203" s="116">
        <f t="shared" si="3"/>
        <v>763.11</v>
      </c>
    </row>
    <row r="204" spans="1:6">
      <c r="A204" s="116" t="s">
        <v>79</v>
      </c>
      <c r="B204" s="116" t="s">
        <v>1249</v>
      </c>
      <c r="C204" s="125">
        <v>101.56</v>
      </c>
      <c r="D204" s="125">
        <v>684.44</v>
      </c>
      <c r="E204" s="125">
        <v>436.56</v>
      </c>
      <c r="F204" s="116">
        <f t="shared" si="3"/>
        <v>1222.56</v>
      </c>
    </row>
    <row r="205" spans="1:6">
      <c r="A205" s="116" t="s">
        <v>130</v>
      </c>
      <c r="B205" s="116" t="s">
        <v>1250</v>
      </c>
      <c r="C205" s="125">
        <v>34.22</v>
      </c>
      <c r="D205" s="125">
        <v>242.78</v>
      </c>
      <c r="E205" s="125">
        <v>165.22</v>
      </c>
      <c r="F205" s="116">
        <f t="shared" si="3"/>
        <v>442.22</v>
      </c>
    </row>
    <row r="206" spans="1:6">
      <c r="A206" s="116" t="s">
        <v>7</v>
      </c>
      <c r="B206" s="116" t="s">
        <v>1251</v>
      </c>
      <c r="C206" s="125">
        <v>20.67</v>
      </c>
      <c r="D206" s="125">
        <v>161.33000000000001</v>
      </c>
      <c r="E206" s="125">
        <v>158</v>
      </c>
      <c r="F206" s="116">
        <f t="shared" si="3"/>
        <v>340</v>
      </c>
    </row>
    <row r="207" spans="1:6">
      <c r="A207" s="116" t="s">
        <v>224</v>
      </c>
      <c r="B207" s="116" t="s">
        <v>1252</v>
      </c>
      <c r="C207" s="125">
        <v>2.78</v>
      </c>
      <c r="D207" s="125">
        <v>64.11</v>
      </c>
      <c r="E207" s="125">
        <v>6.67</v>
      </c>
      <c r="F207" s="116">
        <f t="shared" si="3"/>
        <v>73.56</v>
      </c>
    </row>
    <row r="208" spans="1:6">
      <c r="A208" s="116" t="s">
        <v>313</v>
      </c>
      <c r="B208" s="116" t="s">
        <v>1253</v>
      </c>
      <c r="C208" s="125">
        <v>44.44</v>
      </c>
      <c r="D208" s="125">
        <v>186.89</v>
      </c>
      <c r="E208" s="125">
        <v>180.44</v>
      </c>
      <c r="F208" s="116">
        <f t="shared" si="3"/>
        <v>411.77</v>
      </c>
    </row>
    <row r="209" spans="1:6">
      <c r="A209" s="116" t="s">
        <v>57</v>
      </c>
      <c r="B209" s="116" t="s">
        <v>1254</v>
      </c>
      <c r="C209" s="125">
        <v>71.44</v>
      </c>
      <c r="D209" s="125">
        <v>356.56</v>
      </c>
      <c r="E209" s="125">
        <v>277.67</v>
      </c>
      <c r="F209" s="116">
        <f t="shared" si="3"/>
        <v>705.67000000000007</v>
      </c>
    </row>
    <row r="210" spans="1:6">
      <c r="A210" s="116" t="s">
        <v>573</v>
      </c>
      <c r="B210" s="116" t="s">
        <v>1255</v>
      </c>
      <c r="C210" s="125">
        <v>299.56</v>
      </c>
      <c r="D210" s="125">
        <v>3002.44</v>
      </c>
      <c r="E210" s="125">
        <v>1445.33</v>
      </c>
      <c r="F210" s="116">
        <f t="shared" si="3"/>
        <v>4747.33</v>
      </c>
    </row>
    <row r="211" spans="1:6">
      <c r="A211" s="116" t="s">
        <v>119</v>
      </c>
      <c r="B211" s="116" t="s">
        <v>1256</v>
      </c>
      <c r="C211" s="125">
        <v>0</v>
      </c>
      <c r="D211" s="125">
        <v>0</v>
      </c>
      <c r="E211" s="125">
        <v>4</v>
      </c>
      <c r="F211" s="116">
        <f t="shared" si="3"/>
        <v>4</v>
      </c>
    </row>
    <row r="212" spans="1:6">
      <c r="A212" s="116" t="s">
        <v>441</v>
      </c>
      <c r="B212" s="116" t="s">
        <v>1257</v>
      </c>
      <c r="C212" s="125">
        <v>0</v>
      </c>
      <c r="D212" s="125">
        <v>3.56</v>
      </c>
      <c r="E212" s="125">
        <v>0</v>
      </c>
      <c r="F212" s="116">
        <f t="shared" si="3"/>
        <v>3.56</v>
      </c>
    </row>
    <row r="213" spans="1:6">
      <c r="A213" s="116" t="s">
        <v>101</v>
      </c>
      <c r="B213" s="116" t="s">
        <v>1258</v>
      </c>
      <c r="C213" s="125">
        <v>11.22</v>
      </c>
      <c r="D213" s="125">
        <v>110</v>
      </c>
      <c r="E213" s="125">
        <v>74.33</v>
      </c>
      <c r="F213" s="116">
        <f t="shared" si="3"/>
        <v>195.55</v>
      </c>
    </row>
    <row r="214" spans="1:6">
      <c r="A214" s="116" t="s">
        <v>41</v>
      </c>
      <c r="B214" s="116" t="s">
        <v>1259</v>
      </c>
      <c r="C214" s="125">
        <v>26.22</v>
      </c>
      <c r="D214" s="125">
        <v>189</v>
      </c>
      <c r="E214" s="125">
        <v>43.44</v>
      </c>
      <c r="F214" s="116">
        <f t="shared" si="3"/>
        <v>258.65999999999997</v>
      </c>
    </row>
    <row r="215" spans="1:6">
      <c r="A215" s="116" t="s">
        <v>39</v>
      </c>
      <c r="B215" s="116" t="s">
        <v>1260</v>
      </c>
      <c r="C215" s="125">
        <v>98.56</v>
      </c>
      <c r="D215" s="125">
        <v>649.55999999999995</v>
      </c>
      <c r="E215" s="125">
        <v>723.22</v>
      </c>
      <c r="F215" s="116">
        <f t="shared" si="3"/>
        <v>1471.34</v>
      </c>
    </row>
    <row r="216" spans="1:6">
      <c r="A216" s="116" t="s">
        <v>283</v>
      </c>
      <c r="B216" s="116" t="s">
        <v>1261</v>
      </c>
      <c r="C216" s="125">
        <v>178.22</v>
      </c>
      <c r="D216" s="125">
        <v>920.56</v>
      </c>
      <c r="E216" s="125">
        <v>1124.44</v>
      </c>
      <c r="F216" s="116">
        <f t="shared" si="3"/>
        <v>2223.2200000000003</v>
      </c>
    </row>
    <row r="217" spans="1:6">
      <c r="A217" s="116" t="s">
        <v>428</v>
      </c>
      <c r="B217" s="116" t="s">
        <v>1262</v>
      </c>
      <c r="C217" s="125">
        <v>10.56</v>
      </c>
      <c r="D217" s="125">
        <v>78.11</v>
      </c>
      <c r="E217" s="125">
        <v>27.56</v>
      </c>
      <c r="F217" s="116">
        <f t="shared" si="3"/>
        <v>116.23</v>
      </c>
    </row>
    <row r="218" spans="1:6">
      <c r="A218" s="116" t="s">
        <v>289</v>
      </c>
      <c r="B218" s="116" t="s">
        <v>1263</v>
      </c>
      <c r="C218" s="125">
        <v>83.78</v>
      </c>
      <c r="D218" s="125">
        <v>624.78</v>
      </c>
      <c r="E218" s="125">
        <v>198.89</v>
      </c>
      <c r="F218" s="116">
        <f t="shared" si="3"/>
        <v>907.44999999999993</v>
      </c>
    </row>
    <row r="219" spans="1:6">
      <c r="A219" s="116" t="s">
        <v>230</v>
      </c>
      <c r="B219" s="116" t="s">
        <v>1264</v>
      </c>
      <c r="C219" s="125">
        <v>63</v>
      </c>
      <c r="D219" s="125">
        <v>296</v>
      </c>
      <c r="E219" s="125">
        <v>249.33</v>
      </c>
      <c r="F219" s="116">
        <f t="shared" si="3"/>
        <v>608.33000000000004</v>
      </c>
    </row>
    <row r="220" spans="1:6">
      <c r="A220" s="116" t="s">
        <v>462</v>
      </c>
      <c r="B220" s="116" t="s">
        <v>1265</v>
      </c>
      <c r="C220" s="125">
        <v>2.11</v>
      </c>
      <c r="D220" s="125">
        <v>44.89</v>
      </c>
      <c r="E220" s="125">
        <v>19.22</v>
      </c>
      <c r="F220" s="116">
        <f t="shared" si="3"/>
        <v>66.22</v>
      </c>
    </row>
    <row r="221" spans="1:6">
      <c r="A221" s="116" t="s">
        <v>298</v>
      </c>
      <c r="B221" s="116" t="s">
        <v>1266</v>
      </c>
      <c r="C221" s="125">
        <v>41.78</v>
      </c>
      <c r="D221" s="125">
        <v>315.67</v>
      </c>
      <c r="E221" s="125">
        <v>82.56</v>
      </c>
      <c r="F221" s="116">
        <f t="shared" si="3"/>
        <v>440.01000000000005</v>
      </c>
    </row>
    <row r="222" spans="1:6">
      <c r="A222" s="116" t="s">
        <v>355</v>
      </c>
      <c r="B222" s="116" t="s">
        <v>1267</v>
      </c>
      <c r="C222" s="125">
        <v>24.33</v>
      </c>
      <c r="D222" s="125">
        <v>175.56</v>
      </c>
      <c r="E222" s="125">
        <v>106.33</v>
      </c>
      <c r="F222" s="116">
        <f t="shared" si="3"/>
        <v>306.21999999999997</v>
      </c>
    </row>
    <row r="223" spans="1:6">
      <c r="A223" s="116" t="s">
        <v>380</v>
      </c>
      <c r="B223" s="116" t="s">
        <v>1268</v>
      </c>
      <c r="C223" s="125">
        <v>15.11</v>
      </c>
      <c r="D223" s="125">
        <v>136.78</v>
      </c>
      <c r="E223" s="125">
        <v>60.78</v>
      </c>
      <c r="F223" s="116">
        <f t="shared" si="3"/>
        <v>212.67</v>
      </c>
    </row>
    <row r="224" spans="1:6">
      <c r="A224" s="116" t="s">
        <v>937</v>
      </c>
      <c r="B224" s="116" t="s">
        <v>993</v>
      </c>
      <c r="C224" s="125">
        <v>0</v>
      </c>
      <c r="D224" s="125">
        <v>78</v>
      </c>
      <c r="E224" s="125">
        <v>2.56</v>
      </c>
      <c r="F224" s="116">
        <f t="shared" si="3"/>
        <v>80.56</v>
      </c>
    </row>
    <row r="225" spans="1:6">
      <c r="A225" s="116" t="s">
        <v>1052</v>
      </c>
      <c r="B225" s="116" t="s">
        <v>1269</v>
      </c>
      <c r="C225" s="125">
        <v>0</v>
      </c>
      <c r="D225" s="125">
        <v>7.89</v>
      </c>
      <c r="E225" s="125">
        <v>0.11</v>
      </c>
      <c r="F225" s="116">
        <f t="shared" si="3"/>
        <v>8</v>
      </c>
    </row>
    <row r="226" spans="1:6">
      <c r="A226" s="116" t="s">
        <v>936</v>
      </c>
      <c r="B226" s="116" t="s">
        <v>1270</v>
      </c>
      <c r="C226" s="125">
        <v>0</v>
      </c>
      <c r="D226" s="125">
        <v>97.78</v>
      </c>
      <c r="E226" s="125">
        <v>0.78</v>
      </c>
      <c r="F226" s="116">
        <f t="shared" si="3"/>
        <v>98.56</v>
      </c>
    </row>
    <row r="227" spans="1:6">
      <c r="A227" s="116" t="s">
        <v>1271</v>
      </c>
      <c r="B227" s="116" t="s">
        <v>1272</v>
      </c>
      <c r="C227" s="125">
        <v>0</v>
      </c>
      <c r="D227" s="125">
        <v>0</v>
      </c>
      <c r="E227" s="125">
        <v>0</v>
      </c>
      <c r="F227" s="116">
        <f t="shared" si="3"/>
        <v>0</v>
      </c>
    </row>
    <row r="228" spans="1:6">
      <c r="A228" s="116" t="s">
        <v>116</v>
      </c>
      <c r="B228" s="116" t="s">
        <v>1273</v>
      </c>
      <c r="C228" s="125">
        <v>0</v>
      </c>
      <c r="D228" s="125">
        <v>4</v>
      </c>
      <c r="E228" s="125">
        <v>0</v>
      </c>
      <c r="F228" s="116">
        <f t="shared" si="3"/>
        <v>4</v>
      </c>
    </row>
    <row r="229" spans="1:6">
      <c r="A229" s="116" t="s">
        <v>291</v>
      </c>
      <c r="B229" s="116" t="s">
        <v>1274</v>
      </c>
      <c r="C229" s="125">
        <v>5.78</v>
      </c>
      <c r="D229" s="125">
        <v>88.56</v>
      </c>
      <c r="E229" s="125">
        <v>40.44</v>
      </c>
      <c r="F229" s="116">
        <f t="shared" si="3"/>
        <v>134.78</v>
      </c>
    </row>
    <row r="230" spans="1:6">
      <c r="A230" s="116" t="s">
        <v>522</v>
      </c>
      <c r="B230" s="116" t="s">
        <v>1275</v>
      </c>
      <c r="C230" s="125">
        <v>5.1100000000000003</v>
      </c>
      <c r="D230" s="125">
        <v>54.22</v>
      </c>
      <c r="E230" s="125">
        <v>7.33</v>
      </c>
      <c r="F230" s="116">
        <f t="shared" si="3"/>
        <v>66.66</v>
      </c>
    </row>
    <row r="231" spans="1:6">
      <c r="A231" s="116" t="s">
        <v>278</v>
      </c>
      <c r="B231" s="116" t="s">
        <v>1276</v>
      </c>
      <c r="C231" s="125">
        <v>5.33</v>
      </c>
      <c r="D231" s="125">
        <v>96.11</v>
      </c>
      <c r="E231" s="125">
        <v>11.11</v>
      </c>
      <c r="F231" s="116">
        <f t="shared" si="3"/>
        <v>112.55</v>
      </c>
    </row>
    <row r="232" spans="1:6">
      <c r="A232" s="116" t="s">
        <v>134</v>
      </c>
      <c r="B232" s="116" t="s">
        <v>1277</v>
      </c>
      <c r="C232" s="125">
        <v>21.11</v>
      </c>
      <c r="D232" s="125">
        <v>160.56</v>
      </c>
      <c r="E232" s="125">
        <v>90.44</v>
      </c>
      <c r="F232" s="116">
        <f t="shared" si="3"/>
        <v>272.11</v>
      </c>
    </row>
    <row r="233" spans="1:6">
      <c r="A233" s="116" t="s">
        <v>468</v>
      </c>
      <c r="B233" s="116" t="s">
        <v>1278</v>
      </c>
      <c r="C233" s="125">
        <v>0.78</v>
      </c>
      <c r="D233" s="125">
        <v>9.56</v>
      </c>
      <c r="E233" s="125">
        <v>7.78</v>
      </c>
      <c r="F233" s="116">
        <f t="shared" si="3"/>
        <v>18.12</v>
      </c>
    </row>
    <row r="234" spans="1:6">
      <c r="A234" s="116" t="s">
        <v>9</v>
      </c>
      <c r="B234" s="116" t="s">
        <v>1279</v>
      </c>
      <c r="C234" s="125">
        <v>0</v>
      </c>
      <c r="D234" s="125">
        <v>6.44</v>
      </c>
      <c r="E234" s="125">
        <v>2.56</v>
      </c>
      <c r="F234" s="116">
        <f t="shared" si="3"/>
        <v>9</v>
      </c>
    </row>
    <row r="235" spans="1:6">
      <c r="A235" s="116" t="s">
        <v>516</v>
      </c>
      <c r="B235" s="116" t="s">
        <v>1280</v>
      </c>
      <c r="C235" s="125">
        <v>0</v>
      </c>
      <c r="D235" s="125">
        <v>1.44</v>
      </c>
      <c r="E235" s="125">
        <v>0</v>
      </c>
      <c r="F235" s="116">
        <f t="shared" si="3"/>
        <v>1.44</v>
      </c>
    </row>
    <row r="236" spans="1:6">
      <c r="A236" s="116" t="s">
        <v>150</v>
      </c>
      <c r="B236" s="116" t="s">
        <v>1281</v>
      </c>
      <c r="C236" s="125">
        <v>1.56</v>
      </c>
      <c r="D236" s="125">
        <v>15.78</v>
      </c>
      <c r="E236" s="125">
        <v>1.56</v>
      </c>
      <c r="F236" s="116">
        <f t="shared" si="3"/>
        <v>18.899999999999999</v>
      </c>
    </row>
    <row r="237" spans="1:6">
      <c r="A237" s="116" t="s">
        <v>497</v>
      </c>
      <c r="B237" s="116" t="s">
        <v>1282</v>
      </c>
      <c r="C237" s="125">
        <v>3.33</v>
      </c>
      <c r="D237" s="125">
        <v>51</v>
      </c>
      <c r="E237" s="125">
        <v>22.33</v>
      </c>
      <c r="F237" s="116">
        <f t="shared" si="3"/>
        <v>76.66</v>
      </c>
    </row>
    <row r="238" spans="1:6">
      <c r="A238" s="116" t="s">
        <v>320</v>
      </c>
      <c r="B238" s="116" t="s">
        <v>1283</v>
      </c>
      <c r="C238" s="125">
        <v>0</v>
      </c>
      <c r="D238" s="125">
        <v>19.11</v>
      </c>
      <c r="E238" s="125">
        <v>3.78</v>
      </c>
      <c r="F238" s="116">
        <f t="shared" si="3"/>
        <v>22.89</v>
      </c>
    </row>
    <row r="239" spans="1:6">
      <c r="A239" s="116" t="s">
        <v>479</v>
      </c>
      <c r="B239" s="116" t="s">
        <v>1284</v>
      </c>
      <c r="C239" s="125">
        <v>10.78</v>
      </c>
      <c r="D239" s="125">
        <v>118</v>
      </c>
      <c r="E239" s="125">
        <v>21.67</v>
      </c>
      <c r="F239" s="116">
        <f t="shared" si="3"/>
        <v>150.44999999999999</v>
      </c>
    </row>
    <row r="240" spans="1:6">
      <c r="A240" s="116" t="s">
        <v>181</v>
      </c>
      <c r="B240" s="116" t="s">
        <v>1285</v>
      </c>
      <c r="C240" s="125">
        <v>65.56</v>
      </c>
      <c r="D240" s="125">
        <v>567.33000000000004</v>
      </c>
      <c r="E240" s="125">
        <v>184.22</v>
      </c>
      <c r="F240" s="116">
        <f t="shared" si="3"/>
        <v>817.11000000000013</v>
      </c>
    </row>
    <row r="241" spans="1:6">
      <c r="A241" s="116" t="s">
        <v>318</v>
      </c>
      <c r="B241" s="116" t="s">
        <v>1286</v>
      </c>
      <c r="C241" s="125">
        <v>249.11</v>
      </c>
      <c r="D241" s="125">
        <v>1254.78</v>
      </c>
      <c r="E241" s="125">
        <v>887.11</v>
      </c>
      <c r="F241" s="116">
        <f t="shared" si="3"/>
        <v>2391</v>
      </c>
    </row>
    <row r="242" spans="1:6">
      <c r="A242" s="116" t="s">
        <v>189</v>
      </c>
      <c r="B242" s="116" t="s">
        <v>1287</v>
      </c>
      <c r="C242" s="125">
        <v>61.89</v>
      </c>
      <c r="D242" s="125">
        <v>479.44</v>
      </c>
      <c r="E242" s="125">
        <v>368.33</v>
      </c>
      <c r="F242" s="116">
        <f t="shared" si="3"/>
        <v>909.66000000000008</v>
      </c>
    </row>
    <row r="243" spans="1:6">
      <c r="A243" s="116" t="s">
        <v>110</v>
      </c>
      <c r="B243" s="116" t="s">
        <v>1288</v>
      </c>
      <c r="C243" s="125">
        <v>119.67</v>
      </c>
      <c r="D243" s="125">
        <v>841.89</v>
      </c>
      <c r="E243" s="125">
        <v>651.55999999999995</v>
      </c>
      <c r="F243" s="116">
        <f t="shared" si="3"/>
        <v>1613.12</v>
      </c>
    </row>
    <row r="244" spans="1:6">
      <c r="A244" s="116" t="s">
        <v>364</v>
      </c>
      <c r="B244" s="116" t="s">
        <v>1289</v>
      </c>
      <c r="C244" s="125">
        <v>9.44</v>
      </c>
      <c r="D244" s="125">
        <v>88.44</v>
      </c>
      <c r="E244" s="125">
        <v>37.56</v>
      </c>
      <c r="F244" s="116">
        <f t="shared" si="3"/>
        <v>135.44</v>
      </c>
    </row>
    <row r="245" spans="1:6">
      <c r="A245" s="116" t="s">
        <v>445</v>
      </c>
      <c r="B245" s="116" t="s">
        <v>1290</v>
      </c>
      <c r="C245" s="125">
        <v>12.33</v>
      </c>
      <c r="D245" s="125">
        <v>59.67</v>
      </c>
      <c r="E245" s="125">
        <v>16</v>
      </c>
      <c r="F245" s="116">
        <f t="shared" si="3"/>
        <v>88</v>
      </c>
    </row>
    <row r="246" spans="1:6">
      <c r="A246" s="116" t="s">
        <v>270</v>
      </c>
      <c r="B246" s="116" t="s">
        <v>1291</v>
      </c>
      <c r="C246" s="125">
        <v>21.78</v>
      </c>
      <c r="D246" s="125">
        <v>177.67</v>
      </c>
      <c r="E246" s="125">
        <v>95.89</v>
      </c>
      <c r="F246" s="116">
        <f t="shared" si="3"/>
        <v>295.33999999999997</v>
      </c>
    </row>
    <row r="247" spans="1:6">
      <c r="A247" s="116" t="s">
        <v>258</v>
      </c>
      <c r="B247" s="116" t="s">
        <v>1292</v>
      </c>
      <c r="C247" s="125">
        <v>14.11</v>
      </c>
      <c r="D247" s="125">
        <v>91.44</v>
      </c>
      <c r="E247" s="125">
        <v>98.89</v>
      </c>
      <c r="F247" s="116">
        <f t="shared" si="3"/>
        <v>204.44</v>
      </c>
    </row>
    <row r="248" spans="1:6">
      <c r="A248" s="116" t="s">
        <v>957</v>
      </c>
      <c r="B248" s="116" t="s">
        <v>1293</v>
      </c>
      <c r="C248" s="125">
        <v>0</v>
      </c>
      <c r="D248" s="125">
        <v>12.78</v>
      </c>
      <c r="E248" s="125">
        <v>0.78</v>
      </c>
      <c r="F248" s="116">
        <f t="shared" si="3"/>
        <v>13.559999999999999</v>
      </c>
    </row>
    <row r="249" spans="1:6">
      <c r="A249" s="116" t="s">
        <v>1294</v>
      </c>
      <c r="B249" s="116" t="s">
        <v>1295</v>
      </c>
      <c r="C249" s="125">
        <v>0</v>
      </c>
      <c r="D249" s="125">
        <v>0</v>
      </c>
      <c r="E249" s="125">
        <v>0</v>
      </c>
      <c r="F249" s="116">
        <f t="shared" si="3"/>
        <v>0</v>
      </c>
    </row>
    <row r="250" spans="1:6">
      <c r="A250" s="116" t="s">
        <v>587</v>
      </c>
      <c r="B250" s="116" t="s">
        <v>1296</v>
      </c>
      <c r="C250" s="125">
        <v>0</v>
      </c>
      <c r="D250" s="125">
        <v>0</v>
      </c>
      <c r="E250" s="125">
        <v>0</v>
      </c>
      <c r="F250" s="116">
        <f t="shared" si="3"/>
        <v>0</v>
      </c>
    </row>
    <row r="251" spans="1:6">
      <c r="A251" s="116" t="s">
        <v>837</v>
      </c>
      <c r="B251" s="116" t="s">
        <v>1297</v>
      </c>
      <c r="C251" s="125">
        <v>0</v>
      </c>
      <c r="D251" s="125">
        <v>0</v>
      </c>
      <c r="E251" s="125">
        <v>0</v>
      </c>
      <c r="F251" s="116">
        <f t="shared" si="3"/>
        <v>0</v>
      </c>
    </row>
    <row r="252" spans="1:6">
      <c r="A252" s="116" t="s">
        <v>509</v>
      </c>
      <c r="B252" s="116" t="s">
        <v>1298</v>
      </c>
      <c r="C252" s="125">
        <v>41.22</v>
      </c>
      <c r="D252" s="125">
        <v>493.89</v>
      </c>
      <c r="E252" s="125">
        <v>316</v>
      </c>
      <c r="F252" s="116">
        <f t="shared" si="3"/>
        <v>851.11</v>
      </c>
    </row>
    <row r="253" spans="1:6">
      <c r="A253" s="116" t="s">
        <v>29</v>
      </c>
      <c r="B253" s="116" t="s">
        <v>1299</v>
      </c>
      <c r="C253" s="125">
        <v>30.56</v>
      </c>
      <c r="D253" s="125">
        <v>100.33</v>
      </c>
      <c r="E253" s="125">
        <v>108.78</v>
      </c>
      <c r="F253" s="116">
        <f t="shared" si="3"/>
        <v>239.67</v>
      </c>
    </row>
    <row r="254" spans="1:6">
      <c r="A254" s="116" t="s">
        <v>268</v>
      </c>
      <c r="B254" s="116" t="s">
        <v>1300</v>
      </c>
      <c r="C254" s="125">
        <v>1.44</v>
      </c>
      <c r="D254" s="125">
        <v>22.44</v>
      </c>
      <c r="E254" s="125">
        <v>0.56000000000000005</v>
      </c>
      <c r="F254" s="116">
        <f t="shared" si="3"/>
        <v>24.44</v>
      </c>
    </row>
    <row r="255" spans="1:6">
      <c r="A255" s="116" t="s">
        <v>133</v>
      </c>
      <c r="B255" s="116" t="s">
        <v>1301</v>
      </c>
      <c r="C255" s="125">
        <v>10.78</v>
      </c>
      <c r="D255" s="125">
        <v>72.89</v>
      </c>
      <c r="E255" s="125">
        <v>24.78</v>
      </c>
      <c r="F255" s="116">
        <f t="shared" si="3"/>
        <v>108.45</v>
      </c>
    </row>
    <row r="256" spans="1:6">
      <c r="A256" s="116" t="s">
        <v>507</v>
      </c>
      <c r="B256" s="116" t="s">
        <v>1302</v>
      </c>
      <c r="C256" s="125">
        <v>3.67</v>
      </c>
      <c r="D256" s="125">
        <v>21.67</v>
      </c>
      <c r="E256" s="125">
        <v>0.44</v>
      </c>
      <c r="F256" s="116">
        <f t="shared" si="3"/>
        <v>25.780000000000005</v>
      </c>
    </row>
    <row r="257" spans="1:6">
      <c r="A257" s="116" t="s">
        <v>386</v>
      </c>
      <c r="B257" s="116" t="s">
        <v>1303</v>
      </c>
      <c r="C257" s="125">
        <v>0</v>
      </c>
      <c r="D257" s="125">
        <v>27.78</v>
      </c>
      <c r="E257" s="125">
        <v>8.2200000000000006</v>
      </c>
      <c r="F257" s="116">
        <f t="shared" si="3"/>
        <v>36</v>
      </c>
    </row>
    <row r="258" spans="1:6">
      <c r="A258" s="116" t="s">
        <v>197</v>
      </c>
      <c r="B258" s="116" t="s">
        <v>1304</v>
      </c>
      <c r="C258" s="125">
        <v>119</v>
      </c>
      <c r="D258" s="125">
        <v>1221.56</v>
      </c>
      <c r="E258" s="125">
        <v>408.11</v>
      </c>
      <c r="F258" s="116">
        <f t="shared" si="3"/>
        <v>1748.67</v>
      </c>
    </row>
    <row r="259" spans="1:6">
      <c r="A259" s="116" t="s">
        <v>420</v>
      </c>
      <c r="B259" s="116" t="s">
        <v>1305</v>
      </c>
      <c r="C259" s="125">
        <v>49.44</v>
      </c>
      <c r="D259" s="125">
        <v>358.78</v>
      </c>
      <c r="E259" s="125">
        <v>253</v>
      </c>
      <c r="F259" s="116">
        <f t="shared" ref="F259:F296" si="4">C259+D259+E259</f>
        <v>661.22</v>
      </c>
    </row>
    <row r="260" spans="1:6">
      <c r="A260" s="116" t="s">
        <v>14</v>
      </c>
      <c r="B260" s="116" t="s">
        <v>1306</v>
      </c>
      <c r="C260" s="125">
        <v>30.11</v>
      </c>
      <c r="D260" s="125">
        <v>233</v>
      </c>
      <c r="E260" s="125">
        <v>56.44</v>
      </c>
      <c r="F260" s="116">
        <f t="shared" si="4"/>
        <v>319.55</v>
      </c>
    </row>
    <row r="261" spans="1:6">
      <c r="A261" s="116" t="s">
        <v>488</v>
      </c>
      <c r="B261" s="116" t="s">
        <v>1307</v>
      </c>
      <c r="C261" s="125">
        <v>59.11</v>
      </c>
      <c r="D261" s="125">
        <v>339.78</v>
      </c>
      <c r="E261" s="125">
        <v>110.78</v>
      </c>
      <c r="F261" s="116">
        <f t="shared" si="4"/>
        <v>509.66999999999996</v>
      </c>
    </row>
    <row r="262" spans="1:6">
      <c r="A262" s="116" t="s">
        <v>45</v>
      </c>
      <c r="B262" s="116" t="s">
        <v>1308</v>
      </c>
      <c r="C262" s="125">
        <v>15.11</v>
      </c>
      <c r="D262" s="125">
        <v>135.33000000000001</v>
      </c>
      <c r="E262" s="125">
        <v>55.78</v>
      </c>
      <c r="F262" s="116">
        <f t="shared" si="4"/>
        <v>206.22</v>
      </c>
    </row>
    <row r="263" spans="1:6">
      <c r="A263" s="116" t="s">
        <v>103</v>
      </c>
      <c r="B263" s="116" t="s">
        <v>1309</v>
      </c>
      <c r="C263" s="125">
        <v>28.89</v>
      </c>
      <c r="D263" s="125">
        <v>179.22</v>
      </c>
      <c r="E263" s="125">
        <v>88.56</v>
      </c>
      <c r="F263" s="116">
        <f t="shared" si="4"/>
        <v>296.67</v>
      </c>
    </row>
    <row r="264" spans="1:6">
      <c r="A264" s="116" t="s">
        <v>211</v>
      </c>
      <c r="B264" s="116" t="s">
        <v>1310</v>
      </c>
      <c r="C264" s="125">
        <v>27.11</v>
      </c>
      <c r="D264" s="125">
        <v>218.33</v>
      </c>
      <c r="E264" s="125">
        <v>67.56</v>
      </c>
      <c r="F264" s="116">
        <f t="shared" si="4"/>
        <v>313</v>
      </c>
    </row>
    <row r="265" spans="1:6">
      <c r="A265" s="116" t="s">
        <v>1311</v>
      </c>
      <c r="B265" s="116" t="s">
        <v>1312</v>
      </c>
      <c r="C265" s="125">
        <v>0</v>
      </c>
      <c r="D265" s="125">
        <v>9.33</v>
      </c>
      <c r="E265" s="125">
        <v>0</v>
      </c>
      <c r="F265" s="116">
        <f t="shared" si="4"/>
        <v>9.33</v>
      </c>
    </row>
    <row r="266" spans="1:6">
      <c r="A266" s="116" t="s">
        <v>931</v>
      </c>
      <c r="B266" s="116" t="s">
        <v>1313</v>
      </c>
      <c r="C266" s="125">
        <v>16.22</v>
      </c>
      <c r="D266" s="125">
        <v>88.89</v>
      </c>
      <c r="E266" s="125">
        <v>23.89</v>
      </c>
      <c r="F266" s="116">
        <f t="shared" si="4"/>
        <v>129</v>
      </c>
    </row>
    <row r="267" spans="1:6">
      <c r="A267" s="116" t="s">
        <v>123</v>
      </c>
      <c r="B267" s="116" t="s">
        <v>1314</v>
      </c>
      <c r="C267" s="125">
        <v>2</v>
      </c>
      <c r="D267" s="125">
        <v>10</v>
      </c>
      <c r="E267" s="125">
        <v>1.89</v>
      </c>
      <c r="F267" s="116">
        <f t="shared" si="4"/>
        <v>13.89</v>
      </c>
    </row>
    <row r="268" spans="1:6">
      <c r="A268" s="116" t="s">
        <v>132</v>
      </c>
      <c r="B268" s="116" t="s">
        <v>1315</v>
      </c>
      <c r="C268" s="125">
        <v>0</v>
      </c>
      <c r="D268" s="125">
        <v>2.89</v>
      </c>
      <c r="E268" s="125">
        <v>4.4400000000000004</v>
      </c>
      <c r="F268" s="116">
        <f t="shared" si="4"/>
        <v>7.33</v>
      </c>
    </row>
    <row r="269" spans="1:6">
      <c r="A269" s="116" t="s">
        <v>256</v>
      </c>
      <c r="B269" s="116" t="s">
        <v>1316</v>
      </c>
      <c r="C269" s="125">
        <v>1.89</v>
      </c>
      <c r="D269" s="125">
        <v>29</v>
      </c>
      <c r="E269" s="125">
        <v>9</v>
      </c>
      <c r="F269" s="116">
        <f t="shared" si="4"/>
        <v>39.89</v>
      </c>
    </row>
    <row r="270" spans="1:6">
      <c r="A270" s="116" t="s">
        <v>350</v>
      </c>
      <c r="B270" s="116" t="s">
        <v>1317</v>
      </c>
      <c r="C270" s="125">
        <v>43.44</v>
      </c>
      <c r="D270" s="125">
        <v>234.67</v>
      </c>
      <c r="E270" s="125">
        <v>79.11</v>
      </c>
      <c r="F270" s="116">
        <f t="shared" si="4"/>
        <v>357.22</v>
      </c>
    </row>
    <row r="271" spans="1:6">
      <c r="A271" s="116" t="s">
        <v>27</v>
      </c>
      <c r="B271" s="116" t="s">
        <v>1318</v>
      </c>
      <c r="C271" s="125">
        <v>6.56</v>
      </c>
      <c r="D271" s="125">
        <v>51.22</v>
      </c>
      <c r="E271" s="125">
        <v>23.78</v>
      </c>
      <c r="F271" s="116">
        <f t="shared" si="4"/>
        <v>81.56</v>
      </c>
    </row>
    <row r="272" spans="1:6">
      <c r="A272" s="116" t="s">
        <v>0</v>
      </c>
      <c r="B272" s="116" t="s">
        <v>1319</v>
      </c>
      <c r="C272" s="125">
        <v>0</v>
      </c>
      <c r="D272" s="125">
        <v>14.44</v>
      </c>
      <c r="E272" s="125">
        <v>5.44</v>
      </c>
      <c r="F272" s="116">
        <f t="shared" si="4"/>
        <v>19.88</v>
      </c>
    </row>
    <row r="273" spans="1:6">
      <c r="A273" s="116" t="s">
        <v>430</v>
      </c>
      <c r="B273" s="116" t="s">
        <v>1320</v>
      </c>
      <c r="C273" s="125">
        <v>1.44</v>
      </c>
      <c r="D273" s="125">
        <v>12.56</v>
      </c>
      <c r="E273" s="125">
        <v>2.11</v>
      </c>
      <c r="F273" s="116">
        <f t="shared" si="4"/>
        <v>16.11</v>
      </c>
    </row>
    <row r="274" spans="1:6">
      <c r="A274" s="116" t="s">
        <v>66</v>
      </c>
      <c r="B274" s="116" t="s">
        <v>1321</v>
      </c>
      <c r="C274" s="125">
        <v>1</v>
      </c>
      <c r="D274" s="125">
        <v>5.56</v>
      </c>
      <c r="E274" s="125">
        <v>0.11</v>
      </c>
      <c r="F274" s="116">
        <f t="shared" si="4"/>
        <v>6.67</v>
      </c>
    </row>
    <row r="275" spans="1:6">
      <c r="A275" s="116" t="s">
        <v>148</v>
      </c>
      <c r="B275" s="116" t="s">
        <v>1322</v>
      </c>
      <c r="C275" s="125">
        <v>1.44</v>
      </c>
      <c r="D275" s="125">
        <v>28.11</v>
      </c>
      <c r="E275" s="125">
        <v>1.44</v>
      </c>
      <c r="F275" s="116">
        <f t="shared" si="4"/>
        <v>30.990000000000002</v>
      </c>
    </row>
    <row r="276" spans="1:6">
      <c r="A276" s="116" t="s">
        <v>411</v>
      </c>
      <c r="B276" s="116" t="s">
        <v>1323</v>
      </c>
      <c r="C276" s="125">
        <v>1</v>
      </c>
      <c r="D276" s="125">
        <v>6.44</v>
      </c>
      <c r="E276" s="125">
        <v>4.33</v>
      </c>
      <c r="F276" s="116">
        <f t="shared" si="4"/>
        <v>11.77</v>
      </c>
    </row>
    <row r="277" spans="1:6">
      <c r="A277" s="116" t="s">
        <v>274</v>
      </c>
      <c r="B277" s="116" t="s">
        <v>1324</v>
      </c>
      <c r="C277" s="125">
        <v>1</v>
      </c>
      <c r="D277" s="125">
        <v>15.11</v>
      </c>
      <c r="E277" s="125">
        <v>5.33</v>
      </c>
      <c r="F277" s="116">
        <f t="shared" si="4"/>
        <v>21.439999999999998</v>
      </c>
    </row>
    <row r="278" spans="1:6">
      <c r="A278" s="116" t="s">
        <v>543</v>
      </c>
      <c r="B278" s="116" t="s">
        <v>1325</v>
      </c>
      <c r="C278" s="125">
        <v>0</v>
      </c>
      <c r="D278" s="125">
        <v>16.22</v>
      </c>
      <c r="E278" s="125">
        <v>2.89</v>
      </c>
      <c r="F278" s="116">
        <f t="shared" si="4"/>
        <v>19.11</v>
      </c>
    </row>
    <row r="279" spans="1:6">
      <c r="A279" s="116" t="s">
        <v>326</v>
      </c>
      <c r="B279" s="116" t="s">
        <v>1326</v>
      </c>
      <c r="C279" s="125">
        <v>0.44</v>
      </c>
      <c r="D279" s="125">
        <v>11.11</v>
      </c>
      <c r="E279" s="125">
        <v>8.2200000000000006</v>
      </c>
      <c r="F279" s="116">
        <f t="shared" si="4"/>
        <v>19.77</v>
      </c>
    </row>
    <row r="280" spans="1:6">
      <c r="A280" s="116" t="s">
        <v>1518</v>
      </c>
      <c r="B280" s="116" t="s">
        <v>1570</v>
      </c>
      <c r="C280" s="125">
        <v>0</v>
      </c>
      <c r="D280" s="125">
        <v>11.75</v>
      </c>
      <c r="E280" s="125">
        <v>0</v>
      </c>
      <c r="F280" s="116">
        <f t="shared" si="4"/>
        <v>11.75</v>
      </c>
    </row>
    <row r="281" spans="1:6">
      <c r="A281" s="116" t="s">
        <v>191</v>
      </c>
      <c r="B281" s="116" t="s">
        <v>1327</v>
      </c>
      <c r="C281" s="125">
        <v>6.22</v>
      </c>
      <c r="D281" s="125">
        <v>56.33</v>
      </c>
      <c r="E281" s="125">
        <v>16.329999999999998</v>
      </c>
      <c r="F281" s="116">
        <f t="shared" si="4"/>
        <v>78.88</v>
      </c>
    </row>
    <row r="282" spans="1:6">
      <c r="A282" s="116" t="s">
        <v>92</v>
      </c>
      <c r="B282" s="116" t="s">
        <v>1328</v>
      </c>
      <c r="C282" s="125">
        <v>15.56</v>
      </c>
      <c r="D282" s="125">
        <v>119.33</v>
      </c>
      <c r="E282" s="125">
        <v>39.33</v>
      </c>
      <c r="F282" s="116">
        <f t="shared" si="4"/>
        <v>174.21999999999997</v>
      </c>
    </row>
    <row r="283" spans="1:6">
      <c r="A283" s="116" t="s">
        <v>179</v>
      </c>
      <c r="B283" s="116" t="s">
        <v>1329</v>
      </c>
      <c r="C283" s="125">
        <v>218.56</v>
      </c>
      <c r="D283" s="125">
        <v>1016.67</v>
      </c>
      <c r="E283" s="125">
        <v>875.22</v>
      </c>
      <c r="F283" s="116">
        <f t="shared" si="4"/>
        <v>2110.4499999999998</v>
      </c>
    </row>
    <row r="284" spans="1:6">
      <c r="A284" s="116" t="s">
        <v>231</v>
      </c>
      <c r="B284" s="116" t="s">
        <v>1330</v>
      </c>
      <c r="C284" s="125">
        <v>41.11</v>
      </c>
      <c r="D284" s="125">
        <v>211.56</v>
      </c>
      <c r="E284" s="125">
        <v>171.67</v>
      </c>
      <c r="F284" s="116">
        <f t="shared" si="4"/>
        <v>424.34000000000003</v>
      </c>
    </row>
    <row r="285" spans="1:6">
      <c r="A285" s="116" t="s">
        <v>553</v>
      </c>
      <c r="B285" s="116" t="s">
        <v>1331</v>
      </c>
      <c r="C285" s="125">
        <v>37.11</v>
      </c>
      <c r="D285" s="125">
        <v>374.89</v>
      </c>
      <c r="E285" s="125">
        <v>63.78</v>
      </c>
      <c r="F285" s="116">
        <f t="shared" si="4"/>
        <v>475.78</v>
      </c>
    </row>
    <row r="286" spans="1:6">
      <c r="A286" s="116" t="s">
        <v>490</v>
      </c>
      <c r="B286" s="116" t="s">
        <v>1332</v>
      </c>
      <c r="C286" s="125">
        <v>4.5599999999999996</v>
      </c>
      <c r="D286" s="125">
        <v>31.11</v>
      </c>
      <c r="E286" s="125">
        <v>51.33</v>
      </c>
      <c r="F286" s="116">
        <f t="shared" si="4"/>
        <v>87</v>
      </c>
    </row>
    <row r="287" spans="1:6">
      <c r="A287" s="116" t="s">
        <v>219</v>
      </c>
      <c r="B287" s="116" t="s">
        <v>1333</v>
      </c>
      <c r="C287" s="125">
        <v>30.78</v>
      </c>
      <c r="D287" s="125">
        <v>240.56</v>
      </c>
      <c r="E287" s="125">
        <v>278.11</v>
      </c>
      <c r="F287" s="116">
        <f t="shared" si="4"/>
        <v>549.45000000000005</v>
      </c>
    </row>
    <row r="288" spans="1:6">
      <c r="A288" s="116" t="s">
        <v>248</v>
      </c>
      <c r="B288" s="116" t="s">
        <v>1334</v>
      </c>
      <c r="C288" s="125">
        <v>47.67</v>
      </c>
      <c r="D288" s="125">
        <v>375.33</v>
      </c>
      <c r="E288" s="125">
        <v>495.67</v>
      </c>
      <c r="F288" s="116">
        <f t="shared" si="4"/>
        <v>918.67000000000007</v>
      </c>
    </row>
    <row r="289" spans="1:6">
      <c r="A289" s="116" t="s">
        <v>266</v>
      </c>
      <c r="B289" s="116" t="s">
        <v>1335</v>
      </c>
      <c r="C289" s="125">
        <v>33.78</v>
      </c>
      <c r="D289" s="125">
        <v>482.56</v>
      </c>
      <c r="E289" s="125">
        <v>44.89</v>
      </c>
      <c r="F289" s="116">
        <f t="shared" si="4"/>
        <v>561.23</v>
      </c>
    </row>
    <row r="290" spans="1:6">
      <c r="A290" s="116" t="s">
        <v>449</v>
      </c>
      <c r="B290" s="116" t="s">
        <v>1336</v>
      </c>
      <c r="C290" s="125">
        <v>9.89</v>
      </c>
      <c r="D290" s="125">
        <v>79.33</v>
      </c>
      <c r="E290" s="125">
        <v>39.89</v>
      </c>
      <c r="F290" s="116">
        <f t="shared" si="4"/>
        <v>129.11000000000001</v>
      </c>
    </row>
    <row r="291" spans="1:6">
      <c r="A291" s="116" t="s">
        <v>221</v>
      </c>
      <c r="B291" s="116" t="s">
        <v>1337</v>
      </c>
      <c r="C291" s="125">
        <v>19.329999999999998</v>
      </c>
      <c r="D291" s="125">
        <v>89.11</v>
      </c>
      <c r="E291" s="125">
        <v>97.44</v>
      </c>
      <c r="F291" s="116">
        <f t="shared" si="4"/>
        <v>205.88</v>
      </c>
    </row>
    <row r="292" spans="1:6">
      <c r="A292" s="116" t="s">
        <v>407</v>
      </c>
      <c r="B292" s="116" t="s">
        <v>1338</v>
      </c>
      <c r="C292" s="125">
        <v>6</v>
      </c>
      <c r="D292" s="125">
        <v>100.33</v>
      </c>
      <c r="E292" s="125">
        <v>33.78</v>
      </c>
      <c r="F292" s="116">
        <f t="shared" si="4"/>
        <v>140.11000000000001</v>
      </c>
    </row>
    <row r="293" spans="1:6">
      <c r="A293" s="116" t="s">
        <v>511</v>
      </c>
      <c r="B293" s="116" t="s">
        <v>1339</v>
      </c>
      <c r="C293" s="125">
        <v>28</v>
      </c>
      <c r="D293" s="125">
        <v>265.67</v>
      </c>
      <c r="E293" s="125">
        <v>113.89</v>
      </c>
      <c r="F293" s="116">
        <f t="shared" si="4"/>
        <v>407.56</v>
      </c>
    </row>
    <row r="294" spans="1:6">
      <c r="A294" s="116" t="s">
        <v>299</v>
      </c>
      <c r="B294" s="116" t="s">
        <v>1340</v>
      </c>
      <c r="C294" s="116">
        <v>65.78</v>
      </c>
      <c r="D294" s="116">
        <v>492.22</v>
      </c>
      <c r="E294" s="116">
        <v>226.22</v>
      </c>
      <c r="F294" s="116">
        <f t="shared" si="4"/>
        <v>784.22</v>
      </c>
    </row>
    <row r="295" spans="1:6">
      <c r="A295" s="116" t="s">
        <v>209</v>
      </c>
      <c r="B295" s="116" t="s">
        <v>1341</v>
      </c>
      <c r="C295" s="116">
        <v>7</v>
      </c>
      <c r="D295" s="116">
        <v>76.89</v>
      </c>
      <c r="E295" s="116">
        <v>50.33</v>
      </c>
      <c r="F295" s="116">
        <f t="shared" si="4"/>
        <v>134.22</v>
      </c>
    </row>
    <row r="296" spans="1:6">
      <c r="A296" s="116" t="s">
        <v>1045</v>
      </c>
      <c r="B296" s="116" t="s">
        <v>1342</v>
      </c>
      <c r="C296" s="116">
        <v>0</v>
      </c>
      <c r="D296" s="116">
        <v>16.78</v>
      </c>
      <c r="E296" s="116">
        <v>1</v>
      </c>
      <c r="F296" s="116">
        <f t="shared" si="4"/>
        <v>17.78</v>
      </c>
    </row>
  </sheetData>
  <hyperlinks>
    <hyperlink ref="I1" r:id="rId1" xr:uid="{07608AD0-E206-4A00-A92B-730949E0D28F}"/>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2069F-4A3C-49A1-B3E0-F1B2B888483F}">
  <sheetPr>
    <tabColor rgb="FF00B050"/>
  </sheetPr>
  <dimension ref="A1:E288"/>
  <sheetViews>
    <sheetView topLeftCell="A266" workbookViewId="0">
      <selection activeCell="B3" sqref="B3:C3"/>
    </sheetView>
  </sheetViews>
  <sheetFormatPr defaultRowHeight="12.75"/>
  <cols>
    <col min="2" max="2" width="52" bestFit="1" customWidth="1"/>
    <col min="3" max="3" width="11.140625" bestFit="1" customWidth="1"/>
    <col min="4" max="4" width="11" bestFit="1" customWidth="1"/>
    <col min="5" max="5" width="11.140625" bestFit="1" customWidth="1"/>
  </cols>
  <sheetData>
    <row r="1" spans="1:5" ht="15.75" thickBot="1">
      <c r="A1" s="161" t="s">
        <v>1571</v>
      </c>
      <c r="B1" s="161" t="s">
        <v>171</v>
      </c>
      <c r="C1" s="161" t="s">
        <v>977</v>
      </c>
      <c r="D1" s="161" t="s">
        <v>978</v>
      </c>
      <c r="E1" s="167" t="s">
        <v>586</v>
      </c>
    </row>
    <row r="2" spans="1:5" ht="15">
      <c r="A2" s="162" t="s">
        <v>51</v>
      </c>
      <c r="B2" s="23" t="s">
        <v>588</v>
      </c>
      <c r="C2" s="163">
        <v>798903</v>
      </c>
      <c r="D2" s="163">
        <v>42283</v>
      </c>
      <c r="E2" s="164">
        <f>C2+D2</f>
        <v>841186</v>
      </c>
    </row>
    <row r="3" spans="1:5" ht="15">
      <c r="A3" s="162" t="s">
        <v>53</v>
      </c>
      <c r="B3" s="23" t="s">
        <v>589</v>
      </c>
      <c r="C3" s="163">
        <v>111681</v>
      </c>
      <c r="D3" s="163">
        <v>7102</v>
      </c>
      <c r="E3" s="164">
        <f t="shared" ref="E3:E66" si="0">C3+D3</f>
        <v>118783</v>
      </c>
    </row>
    <row r="4" spans="1:5" ht="15">
      <c r="A4" s="162" t="s">
        <v>55</v>
      </c>
      <c r="B4" s="23" t="s">
        <v>590</v>
      </c>
      <c r="C4" s="163">
        <v>19830</v>
      </c>
      <c r="D4" s="163">
        <v>537</v>
      </c>
      <c r="E4" s="164">
        <f t="shared" si="0"/>
        <v>20367</v>
      </c>
    </row>
    <row r="5" spans="1:5" ht="15">
      <c r="A5" s="162" t="s">
        <v>182</v>
      </c>
      <c r="B5" s="23" t="s">
        <v>591</v>
      </c>
      <c r="C5" s="163">
        <v>513242</v>
      </c>
      <c r="D5" s="163">
        <v>15202</v>
      </c>
      <c r="E5" s="164">
        <f t="shared" si="0"/>
        <v>528444</v>
      </c>
    </row>
    <row r="6" spans="1:5" ht="15">
      <c r="A6" s="162" t="s">
        <v>471</v>
      </c>
      <c r="B6" s="23" t="s">
        <v>592</v>
      </c>
      <c r="C6" s="163">
        <v>1013602</v>
      </c>
      <c r="D6" s="163">
        <v>30559</v>
      </c>
      <c r="E6" s="164">
        <f t="shared" si="0"/>
        <v>1044161</v>
      </c>
    </row>
    <row r="7" spans="1:5" ht="15">
      <c r="A7" s="162" t="s">
        <v>473</v>
      </c>
      <c r="B7" s="23" t="s">
        <v>593</v>
      </c>
      <c r="C7" s="163">
        <v>137475</v>
      </c>
      <c r="D7" s="163">
        <v>4162</v>
      </c>
      <c r="E7" s="164">
        <f t="shared" si="0"/>
        <v>141637</v>
      </c>
    </row>
    <row r="8" spans="1:5" ht="15">
      <c r="A8" s="162" t="s">
        <v>474</v>
      </c>
      <c r="B8" s="23" t="s">
        <v>594</v>
      </c>
      <c r="C8" s="163">
        <v>3027090</v>
      </c>
      <c r="D8" s="163">
        <v>55636</v>
      </c>
      <c r="E8" s="164">
        <f t="shared" si="0"/>
        <v>3082726</v>
      </c>
    </row>
    <row r="9" spans="1:5">
      <c r="A9" s="162" t="s">
        <v>476</v>
      </c>
      <c r="B9" s="23" t="s">
        <v>595</v>
      </c>
      <c r="C9" s="164">
        <v>695267</v>
      </c>
      <c r="D9" s="164">
        <v>26934</v>
      </c>
      <c r="E9" s="164">
        <f t="shared" si="0"/>
        <v>722201</v>
      </c>
    </row>
    <row r="10" spans="1:5">
      <c r="A10" s="162" t="s">
        <v>477</v>
      </c>
      <c r="B10" s="23" t="s">
        <v>596</v>
      </c>
      <c r="C10" s="164">
        <v>2446074</v>
      </c>
      <c r="D10" s="164">
        <v>96900</v>
      </c>
      <c r="E10" s="164">
        <f t="shared" si="0"/>
        <v>2542974</v>
      </c>
    </row>
    <row r="11" spans="1:5">
      <c r="A11" s="162" t="s">
        <v>195</v>
      </c>
      <c r="B11" s="23" t="s">
        <v>597</v>
      </c>
      <c r="C11" s="164">
        <v>3720207</v>
      </c>
      <c r="D11" s="164">
        <v>69017</v>
      </c>
      <c r="E11" s="164">
        <f t="shared" si="0"/>
        <v>3789224</v>
      </c>
    </row>
    <row r="12" spans="1:5">
      <c r="A12" s="162" t="s">
        <v>197</v>
      </c>
      <c r="B12" s="23" t="s">
        <v>598</v>
      </c>
      <c r="C12" s="164">
        <v>2248703</v>
      </c>
      <c r="D12" s="164">
        <v>61581</v>
      </c>
      <c r="E12" s="164">
        <f t="shared" si="0"/>
        <v>2310284</v>
      </c>
    </row>
    <row r="13" spans="1:5">
      <c r="A13" s="162" t="s">
        <v>199</v>
      </c>
      <c r="B13" s="23" t="s">
        <v>599</v>
      </c>
      <c r="C13" s="164">
        <v>3434</v>
      </c>
      <c r="D13" s="164">
        <v>6</v>
      </c>
      <c r="E13" s="164">
        <f t="shared" si="0"/>
        <v>3440</v>
      </c>
    </row>
    <row r="14" spans="1:5">
      <c r="A14" s="162" t="s">
        <v>201</v>
      </c>
      <c r="B14" s="23" t="s">
        <v>600</v>
      </c>
      <c r="C14" s="164">
        <v>3727868</v>
      </c>
      <c r="D14" s="164">
        <v>97440</v>
      </c>
      <c r="E14" s="164">
        <f t="shared" si="0"/>
        <v>3825308</v>
      </c>
    </row>
    <row r="15" spans="1:5">
      <c r="A15" s="162" t="s">
        <v>14</v>
      </c>
      <c r="B15" s="23" t="s">
        <v>602</v>
      </c>
      <c r="C15" s="164">
        <v>398121</v>
      </c>
      <c r="D15" s="164">
        <v>8224</v>
      </c>
      <c r="E15" s="164">
        <f t="shared" si="0"/>
        <v>406345</v>
      </c>
    </row>
    <row r="16" spans="1:5">
      <c r="A16" s="162" t="s">
        <v>16</v>
      </c>
      <c r="B16" s="23" t="s">
        <v>603</v>
      </c>
      <c r="C16" s="164">
        <v>23870</v>
      </c>
      <c r="D16" s="164">
        <v>4465</v>
      </c>
      <c r="E16" s="164">
        <f t="shared" si="0"/>
        <v>28335</v>
      </c>
    </row>
    <row r="17" spans="1:5">
      <c r="A17" s="162" t="s">
        <v>524</v>
      </c>
      <c r="B17" s="23" t="s">
        <v>604</v>
      </c>
      <c r="C17" s="164">
        <v>1035485</v>
      </c>
      <c r="D17" s="164">
        <v>42246</v>
      </c>
      <c r="E17" s="164">
        <f t="shared" si="0"/>
        <v>1077731</v>
      </c>
    </row>
    <row r="18" spans="1:5">
      <c r="A18" s="162" t="s">
        <v>526</v>
      </c>
      <c r="B18" s="23" t="s">
        <v>605</v>
      </c>
      <c r="C18" s="164">
        <v>213577</v>
      </c>
      <c r="D18" s="164">
        <v>6824</v>
      </c>
      <c r="E18" s="164">
        <f t="shared" si="0"/>
        <v>220401</v>
      </c>
    </row>
    <row r="19" spans="1:5">
      <c r="A19" s="162" t="s">
        <v>528</v>
      </c>
      <c r="B19" s="23" t="s">
        <v>606</v>
      </c>
      <c r="C19" s="164">
        <v>172688</v>
      </c>
      <c r="D19" s="164">
        <v>6261</v>
      </c>
      <c r="E19" s="164">
        <f t="shared" si="0"/>
        <v>178949</v>
      </c>
    </row>
    <row r="20" spans="1:5">
      <c r="A20" s="162" t="s">
        <v>530</v>
      </c>
      <c r="B20" s="23" t="s">
        <v>607</v>
      </c>
      <c r="C20" s="164">
        <v>21601</v>
      </c>
      <c r="D20" s="164">
        <v>524</v>
      </c>
      <c r="E20" s="164">
        <f t="shared" si="0"/>
        <v>22125</v>
      </c>
    </row>
    <row r="21" spans="1:5">
      <c r="A21" s="162" t="s">
        <v>532</v>
      </c>
      <c r="B21" s="23" t="s">
        <v>608</v>
      </c>
      <c r="C21" s="164">
        <v>731687</v>
      </c>
      <c r="D21" s="164">
        <v>30416</v>
      </c>
      <c r="E21" s="164">
        <f t="shared" si="0"/>
        <v>762103</v>
      </c>
    </row>
    <row r="22" spans="1:5">
      <c r="A22" s="162" t="s">
        <v>534</v>
      </c>
      <c r="B22" s="23" t="s">
        <v>609</v>
      </c>
      <c r="C22" s="164">
        <v>1096005</v>
      </c>
      <c r="D22" s="164">
        <v>23704</v>
      </c>
      <c r="E22" s="164">
        <f t="shared" si="0"/>
        <v>1119709</v>
      </c>
    </row>
    <row r="23" spans="1:5">
      <c r="A23" s="162" t="s">
        <v>536</v>
      </c>
      <c r="B23" s="23" t="s">
        <v>610</v>
      </c>
      <c r="C23" s="164">
        <v>117208</v>
      </c>
      <c r="D23" s="164">
        <v>5136</v>
      </c>
      <c r="E23" s="164">
        <f t="shared" si="0"/>
        <v>122344</v>
      </c>
    </row>
    <row r="24" spans="1:5">
      <c r="A24" s="162" t="s">
        <v>538</v>
      </c>
      <c r="B24" s="23" t="s">
        <v>847</v>
      </c>
      <c r="C24" s="164">
        <v>39568</v>
      </c>
      <c r="D24" s="164">
        <v>2040</v>
      </c>
      <c r="E24" s="164">
        <f t="shared" si="0"/>
        <v>41608</v>
      </c>
    </row>
    <row r="25" spans="1:5">
      <c r="A25" s="162" t="s">
        <v>151</v>
      </c>
      <c r="B25" s="23" t="s">
        <v>611</v>
      </c>
      <c r="C25" s="164">
        <v>280189</v>
      </c>
      <c r="D25" s="164">
        <v>14767</v>
      </c>
      <c r="E25" s="164">
        <f t="shared" si="0"/>
        <v>294956</v>
      </c>
    </row>
    <row r="26" spans="1:5">
      <c r="A26" s="162" t="s">
        <v>153</v>
      </c>
      <c r="B26" s="23" t="s">
        <v>612</v>
      </c>
      <c r="C26" s="164">
        <v>295630</v>
      </c>
      <c r="D26" s="164">
        <v>19810</v>
      </c>
      <c r="E26" s="164">
        <f t="shared" si="0"/>
        <v>315440</v>
      </c>
    </row>
    <row r="27" spans="1:5">
      <c r="A27" s="162" t="s">
        <v>155</v>
      </c>
      <c r="B27" s="23" t="s">
        <v>613</v>
      </c>
      <c r="C27" s="164">
        <v>260489</v>
      </c>
      <c r="D27" s="164">
        <v>9377</v>
      </c>
      <c r="E27" s="164">
        <f t="shared" si="0"/>
        <v>269866</v>
      </c>
    </row>
    <row r="28" spans="1:5">
      <c r="A28" s="165" t="s">
        <v>1050</v>
      </c>
      <c r="B28" s="23" t="s">
        <v>1047</v>
      </c>
      <c r="C28" s="164">
        <v>29514</v>
      </c>
      <c r="D28" s="164">
        <v>0</v>
      </c>
      <c r="E28" s="164">
        <f t="shared" si="0"/>
        <v>29514</v>
      </c>
    </row>
    <row r="29" spans="1:5">
      <c r="A29" s="162" t="s">
        <v>281</v>
      </c>
      <c r="B29" s="23" t="s">
        <v>614</v>
      </c>
      <c r="C29" s="164">
        <v>2385787</v>
      </c>
      <c r="D29" s="164">
        <v>106117</v>
      </c>
      <c r="E29" s="164">
        <f t="shared" si="0"/>
        <v>2491904</v>
      </c>
    </row>
    <row r="30" spans="1:5">
      <c r="A30" s="162" t="s">
        <v>283</v>
      </c>
      <c r="B30" s="23" t="s">
        <v>615</v>
      </c>
      <c r="C30" s="164">
        <v>2537811</v>
      </c>
      <c r="D30" s="164">
        <v>49577</v>
      </c>
      <c r="E30" s="164">
        <f t="shared" si="0"/>
        <v>2587388</v>
      </c>
    </row>
    <row r="31" spans="1:5">
      <c r="A31" s="162" t="s">
        <v>285</v>
      </c>
      <c r="B31" s="23" t="s">
        <v>616</v>
      </c>
      <c r="C31" s="164">
        <v>782038</v>
      </c>
      <c r="D31" s="164">
        <v>37924</v>
      </c>
      <c r="E31" s="164">
        <f t="shared" si="0"/>
        <v>819962</v>
      </c>
    </row>
    <row r="32" spans="1:5">
      <c r="A32" s="162" t="s">
        <v>287</v>
      </c>
      <c r="B32" s="23" t="s">
        <v>617</v>
      </c>
      <c r="C32" s="164">
        <v>612368</v>
      </c>
      <c r="D32" s="164">
        <v>15017</v>
      </c>
      <c r="E32" s="164">
        <f t="shared" si="0"/>
        <v>627385</v>
      </c>
    </row>
    <row r="33" spans="1:5">
      <c r="A33" s="162" t="s">
        <v>289</v>
      </c>
      <c r="B33" s="23" t="s">
        <v>618</v>
      </c>
      <c r="C33" s="164">
        <v>907949</v>
      </c>
      <c r="D33" s="164">
        <v>22638</v>
      </c>
      <c r="E33" s="164">
        <f t="shared" si="0"/>
        <v>930587</v>
      </c>
    </row>
    <row r="34" spans="1:5">
      <c r="A34" s="162" t="s">
        <v>291</v>
      </c>
      <c r="B34" s="23" t="s">
        <v>619</v>
      </c>
      <c r="C34" s="164">
        <v>173874</v>
      </c>
      <c r="D34" s="164">
        <v>4710</v>
      </c>
      <c r="E34" s="164">
        <f t="shared" si="0"/>
        <v>178584</v>
      </c>
    </row>
    <row r="35" spans="1:5">
      <c r="A35" s="162" t="s">
        <v>19</v>
      </c>
      <c r="B35" s="23" t="s">
        <v>620</v>
      </c>
      <c r="C35" s="164">
        <v>210853</v>
      </c>
      <c r="D35" s="164">
        <v>7212</v>
      </c>
      <c r="E35" s="164">
        <f t="shared" si="0"/>
        <v>218065</v>
      </c>
    </row>
    <row r="36" spans="1:5">
      <c r="A36" s="162" t="s">
        <v>21</v>
      </c>
      <c r="B36" s="23" t="s">
        <v>621</v>
      </c>
      <c r="C36" s="164">
        <v>564865</v>
      </c>
      <c r="D36" s="164">
        <v>22216</v>
      </c>
      <c r="E36" s="164">
        <f t="shared" si="0"/>
        <v>587081</v>
      </c>
    </row>
    <row r="37" spans="1:5">
      <c r="A37" s="162" t="s">
        <v>23</v>
      </c>
      <c r="B37" s="23" t="s">
        <v>622</v>
      </c>
      <c r="C37" s="164">
        <v>176218</v>
      </c>
      <c r="D37" s="164">
        <v>9669</v>
      </c>
      <c r="E37" s="164">
        <f t="shared" si="0"/>
        <v>185887</v>
      </c>
    </row>
    <row r="38" spans="1:5">
      <c r="A38" s="162" t="s">
        <v>25</v>
      </c>
      <c r="B38" s="23" t="s">
        <v>623</v>
      </c>
      <c r="C38" s="164">
        <v>2675915</v>
      </c>
      <c r="D38" s="164">
        <v>104129</v>
      </c>
      <c r="E38" s="164">
        <f t="shared" si="0"/>
        <v>2780044</v>
      </c>
    </row>
    <row r="39" spans="1:5">
      <c r="A39" s="162" t="s">
        <v>27</v>
      </c>
      <c r="B39" s="23" t="s">
        <v>624</v>
      </c>
      <c r="C39" s="164">
        <v>100937</v>
      </c>
      <c r="D39" s="164">
        <v>4122</v>
      </c>
      <c r="E39" s="164">
        <f t="shared" si="0"/>
        <v>105059</v>
      </c>
    </row>
    <row r="40" spans="1:5">
      <c r="A40" s="162" t="s">
        <v>29</v>
      </c>
      <c r="B40" s="23" t="s">
        <v>625</v>
      </c>
      <c r="C40" s="164">
        <v>325357</v>
      </c>
      <c r="D40" s="164">
        <v>7661</v>
      </c>
      <c r="E40" s="164">
        <f t="shared" si="0"/>
        <v>333018</v>
      </c>
    </row>
    <row r="41" spans="1:5">
      <c r="A41" s="162" t="s">
        <v>148</v>
      </c>
      <c r="B41" s="23" t="s">
        <v>626</v>
      </c>
      <c r="C41" s="164">
        <v>33410</v>
      </c>
      <c r="D41" s="164">
        <v>2030</v>
      </c>
      <c r="E41" s="164">
        <f t="shared" si="0"/>
        <v>35440</v>
      </c>
    </row>
    <row r="42" spans="1:5">
      <c r="A42" s="162" t="s">
        <v>150</v>
      </c>
      <c r="B42" s="23" t="s">
        <v>859</v>
      </c>
      <c r="C42" s="164">
        <v>27101</v>
      </c>
      <c r="D42" s="164">
        <v>1520</v>
      </c>
      <c r="E42" s="164">
        <f t="shared" si="0"/>
        <v>28621</v>
      </c>
    </row>
    <row r="43" spans="1:5">
      <c r="A43" s="162" t="s">
        <v>133</v>
      </c>
      <c r="B43" s="23" t="s">
        <v>860</v>
      </c>
      <c r="C43" s="164">
        <v>194789</v>
      </c>
      <c r="D43" s="164">
        <v>1891</v>
      </c>
      <c r="E43" s="164">
        <f t="shared" si="0"/>
        <v>196680</v>
      </c>
    </row>
    <row r="44" spans="1:5">
      <c r="A44" s="162" t="s">
        <v>134</v>
      </c>
      <c r="B44" s="23" t="s">
        <v>627</v>
      </c>
      <c r="C44" s="164">
        <v>387528</v>
      </c>
      <c r="D44" s="164">
        <v>12460</v>
      </c>
      <c r="E44" s="164">
        <f t="shared" si="0"/>
        <v>399988</v>
      </c>
    </row>
    <row r="45" spans="1:5">
      <c r="A45" s="162" t="s">
        <v>136</v>
      </c>
      <c r="B45" s="23" t="s">
        <v>628</v>
      </c>
      <c r="C45" s="164">
        <v>138360</v>
      </c>
      <c r="D45" s="164">
        <v>8092</v>
      </c>
      <c r="E45" s="164">
        <f t="shared" si="0"/>
        <v>146452</v>
      </c>
    </row>
    <row r="46" spans="1:5">
      <c r="A46" s="162" t="s">
        <v>138</v>
      </c>
      <c r="B46" s="23" t="s">
        <v>629</v>
      </c>
      <c r="C46" s="164">
        <v>73853</v>
      </c>
      <c r="D46" s="164">
        <v>1146</v>
      </c>
      <c r="E46" s="164">
        <f t="shared" si="0"/>
        <v>74999</v>
      </c>
    </row>
    <row r="47" spans="1:5">
      <c r="A47" s="162" t="s">
        <v>140</v>
      </c>
      <c r="B47" s="23" t="s">
        <v>630</v>
      </c>
      <c r="C47" s="164">
        <v>40236</v>
      </c>
      <c r="D47" s="164">
        <v>3019</v>
      </c>
      <c r="E47" s="164">
        <f t="shared" si="0"/>
        <v>43255</v>
      </c>
    </row>
    <row r="48" spans="1:5">
      <c r="A48" s="162" t="s">
        <v>142</v>
      </c>
      <c r="B48" s="23" t="s">
        <v>848</v>
      </c>
      <c r="C48" s="164">
        <v>45151</v>
      </c>
      <c r="D48" s="164">
        <v>1053</v>
      </c>
      <c r="E48" s="164">
        <f t="shared" si="0"/>
        <v>46204</v>
      </c>
    </row>
    <row r="49" spans="1:5">
      <c r="A49" s="162" t="s">
        <v>143</v>
      </c>
      <c r="B49" s="23" t="s">
        <v>631</v>
      </c>
      <c r="C49" s="164">
        <v>189826</v>
      </c>
      <c r="D49" s="164">
        <v>4790</v>
      </c>
      <c r="E49" s="164">
        <f t="shared" si="0"/>
        <v>194616</v>
      </c>
    </row>
    <row r="50" spans="1:5">
      <c r="A50" s="162" t="s">
        <v>12</v>
      </c>
      <c r="B50" s="23" t="s">
        <v>632</v>
      </c>
      <c r="C50" s="164">
        <v>61871</v>
      </c>
      <c r="D50" s="164">
        <v>1114</v>
      </c>
      <c r="E50" s="164">
        <f t="shared" si="0"/>
        <v>62985</v>
      </c>
    </row>
    <row r="51" spans="1:5">
      <c r="A51" s="162" t="s">
        <v>145</v>
      </c>
      <c r="B51" s="23" t="s">
        <v>633</v>
      </c>
      <c r="C51" s="164">
        <v>16296</v>
      </c>
      <c r="D51" s="164">
        <v>1013</v>
      </c>
      <c r="E51" s="164">
        <f t="shared" si="0"/>
        <v>17309</v>
      </c>
    </row>
    <row r="52" spans="1:5">
      <c r="A52" s="162" t="s">
        <v>402</v>
      </c>
      <c r="B52" s="23" t="s">
        <v>634</v>
      </c>
      <c r="C52" s="164">
        <v>54990</v>
      </c>
      <c r="D52" s="164">
        <v>1100</v>
      </c>
      <c r="E52" s="164">
        <f t="shared" si="0"/>
        <v>56090</v>
      </c>
    </row>
    <row r="53" spans="1:5">
      <c r="A53" s="162" t="s">
        <v>404</v>
      </c>
      <c r="B53" s="23" t="s">
        <v>635</v>
      </c>
      <c r="C53" s="164">
        <v>64578</v>
      </c>
      <c r="D53" s="164">
        <v>1595</v>
      </c>
      <c r="E53" s="164">
        <f t="shared" si="0"/>
        <v>66173</v>
      </c>
    </row>
    <row r="54" spans="1:5">
      <c r="A54" s="162" t="s">
        <v>406</v>
      </c>
      <c r="B54" s="23" t="s">
        <v>636</v>
      </c>
      <c r="C54" s="164">
        <v>5136</v>
      </c>
      <c r="D54" s="164">
        <v>505</v>
      </c>
      <c r="E54" s="164">
        <f t="shared" si="0"/>
        <v>5641</v>
      </c>
    </row>
    <row r="55" spans="1:5">
      <c r="A55" s="162" t="s">
        <v>224</v>
      </c>
      <c r="B55" s="23" t="s">
        <v>637</v>
      </c>
      <c r="C55" s="164">
        <v>95152</v>
      </c>
      <c r="D55" s="164">
        <v>3610</v>
      </c>
      <c r="E55" s="164">
        <f t="shared" si="0"/>
        <v>98762</v>
      </c>
    </row>
    <row r="56" spans="1:5">
      <c r="A56" s="162" t="s">
        <v>226</v>
      </c>
      <c r="B56" s="23" t="s">
        <v>638</v>
      </c>
      <c r="C56" s="164">
        <v>96299</v>
      </c>
      <c r="D56" s="164">
        <v>2672</v>
      </c>
      <c r="E56" s="164">
        <f t="shared" si="0"/>
        <v>98971</v>
      </c>
    </row>
    <row r="57" spans="1:5">
      <c r="A57" s="162" t="s">
        <v>355</v>
      </c>
      <c r="B57" s="23" t="s">
        <v>639</v>
      </c>
      <c r="C57" s="164">
        <v>497501</v>
      </c>
      <c r="D57" s="164">
        <v>21655</v>
      </c>
      <c r="E57" s="164">
        <f t="shared" si="0"/>
        <v>519156</v>
      </c>
    </row>
    <row r="58" spans="1:5">
      <c r="A58" s="162" t="s">
        <v>357</v>
      </c>
      <c r="B58" s="23" t="s">
        <v>640</v>
      </c>
      <c r="C58" s="164">
        <v>207609</v>
      </c>
      <c r="D58" s="164">
        <v>5392</v>
      </c>
      <c r="E58" s="164">
        <f t="shared" si="0"/>
        <v>213001</v>
      </c>
    </row>
    <row r="59" spans="1:5">
      <c r="A59" s="162" t="s">
        <v>230</v>
      </c>
      <c r="B59" s="23" t="s">
        <v>861</v>
      </c>
      <c r="C59" s="164">
        <v>794586</v>
      </c>
      <c r="D59" s="164">
        <v>21165</v>
      </c>
      <c r="E59" s="164">
        <f t="shared" si="0"/>
        <v>815751</v>
      </c>
    </row>
    <row r="60" spans="1:5">
      <c r="A60" s="162" t="s">
        <v>231</v>
      </c>
      <c r="B60" s="23" t="s">
        <v>862</v>
      </c>
      <c r="C60" s="164">
        <v>617806</v>
      </c>
      <c r="D60" s="164">
        <v>14666</v>
      </c>
      <c r="E60" s="164">
        <f t="shared" si="0"/>
        <v>632472</v>
      </c>
    </row>
    <row r="61" spans="1:5">
      <c r="A61" s="162" t="s">
        <v>232</v>
      </c>
      <c r="B61" s="23" t="s">
        <v>641</v>
      </c>
      <c r="C61" s="164">
        <v>1154035</v>
      </c>
      <c r="D61" s="164">
        <v>27496</v>
      </c>
      <c r="E61" s="164">
        <f t="shared" si="0"/>
        <v>1181531</v>
      </c>
    </row>
    <row r="62" spans="1:5">
      <c r="A62" s="162" t="s">
        <v>234</v>
      </c>
      <c r="B62" s="23" t="s">
        <v>642</v>
      </c>
      <c r="C62" s="164">
        <v>20189</v>
      </c>
      <c r="D62" s="164">
        <v>530</v>
      </c>
      <c r="E62" s="164">
        <f t="shared" si="0"/>
        <v>20719</v>
      </c>
    </row>
    <row r="63" spans="1:5">
      <c r="A63" s="162" t="s">
        <v>236</v>
      </c>
      <c r="B63" s="23" t="s">
        <v>643</v>
      </c>
      <c r="C63" s="164">
        <v>363378</v>
      </c>
      <c r="D63" s="164">
        <v>12035</v>
      </c>
      <c r="E63" s="164">
        <f t="shared" si="0"/>
        <v>375413</v>
      </c>
    </row>
    <row r="64" spans="1:5">
      <c r="A64" s="162" t="s">
        <v>238</v>
      </c>
      <c r="B64" s="23" t="s">
        <v>644</v>
      </c>
      <c r="C64" s="164">
        <v>4042229</v>
      </c>
      <c r="D64" s="164">
        <v>126051</v>
      </c>
      <c r="E64" s="164">
        <f t="shared" si="0"/>
        <v>4168280</v>
      </c>
    </row>
    <row r="65" spans="1:5">
      <c r="A65" s="162" t="s">
        <v>240</v>
      </c>
      <c r="B65" s="23" t="s">
        <v>645</v>
      </c>
      <c r="C65" s="164">
        <v>606803</v>
      </c>
      <c r="D65" s="164">
        <v>22401</v>
      </c>
      <c r="E65" s="164">
        <f t="shared" si="0"/>
        <v>629204</v>
      </c>
    </row>
    <row r="66" spans="1:5">
      <c r="A66" s="162" t="s">
        <v>409</v>
      </c>
      <c r="B66" s="23" t="s">
        <v>646</v>
      </c>
      <c r="C66" s="164">
        <v>371723</v>
      </c>
      <c r="D66" s="164">
        <v>19797</v>
      </c>
      <c r="E66" s="164">
        <f t="shared" si="0"/>
        <v>391520</v>
      </c>
    </row>
    <row r="67" spans="1:5">
      <c r="A67" s="162" t="s">
        <v>411</v>
      </c>
      <c r="B67" s="23" t="s">
        <v>647</v>
      </c>
      <c r="C67" s="164">
        <v>18383</v>
      </c>
      <c r="D67" s="164">
        <v>530</v>
      </c>
      <c r="E67" s="164">
        <f t="shared" ref="E67:E130" si="1">C67+D67</f>
        <v>18913</v>
      </c>
    </row>
    <row r="68" spans="1:5">
      <c r="A68" s="162" t="s">
        <v>413</v>
      </c>
      <c r="B68" s="23" t="s">
        <v>648</v>
      </c>
      <c r="C68" s="164">
        <v>72096</v>
      </c>
      <c r="D68" s="164">
        <v>626</v>
      </c>
      <c r="E68" s="164">
        <f t="shared" si="1"/>
        <v>72722</v>
      </c>
    </row>
    <row r="69" spans="1:5">
      <c r="A69" s="162" t="s">
        <v>415</v>
      </c>
      <c r="B69" s="23" t="s">
        <v>649</v>
      </c>
      <c r="C69" s="164">
        <v>867178</v>
      </c>
      <c r="D69" s="164">
        <v>29552</v>
      </c>
      <c r="E69" s="164">
        <f t="shared" si="1"/>
        <v>896730</v>
      </c>
    </row>
    <row r="70" spans="1:5">
      <c r="A70" s="162" t="s">
        <v>417</v>
      </c>
      <c r="B70" s="23" t="s">
        <v>650</v>
      </c>
      <c r="C70" s="164">
        <v>515900</v>
      </c>
      <c r="D70" s="164">
        <v>16361</v>
      </c>
      <c r="E70" s="164">
        <f t="shared" si="1"/>
        <v>532261</v>
      </c>
    </row>
    <row r="71" spans="1:5">
      <c r="A71" s="162" t="s">
        <v>419</v>
      </c>
      <c r="B71" s="23" t="s">
        <v>651</v>
      </c>
      <c r="C71" s="164">
        <v>8826</v>
      </c>
      <c r="D71" s="164">
        <v>512</v>
      </c>
      <c r="E71" s="164">
        <f t="shared" si="1"/>
        <v>9338</v>
      </c>
    </row>
    <row r="72" spans="1:5">
      <c r="A72" s="162" t="s">
        <v>513</v>
      </c>
      <c r="B72" s="23" t="s">
        <v>652</v>
      </c>
      <c r="C72" s="164">
        <v>3942921</v>
      </c>
      <c r="D72" s="164">
        <v>138937</v>
      </c>
      <c r="E72" s="164">
        <f t="shared" si="1"/>
        <v>4081858</v>
      </c>
    </row>
    <row r="73" spans="1:5">
      <c r="A73" s="162" t="s">
        <v>515</v>
      </c>
      <c r="B73" s="23" t="s">
        <v>863</v>
      </c>
      <c r="C73" s="164">
        <v>4366408</v>
      </c>
      <c r="D73" s="164">
        <v>93836</v>
      </c>
      <c r="E73" s="164">
        <f t="shared" si="1"/>
        <v>4460244</v>
      </c>
    </row>
    <row r="74" spans="1:5">
      <c r="A74" s="162" t="s">
        <v>516</v>
      </c>
      <c r="B74" s="23" t="s">
        <v>864</v>
      </c>
      <c r="C74" s="164">
        <v>18989</v>
      </c>
      <c r="D74" s="164">
        <v>534</v>
      </c>
      <c r="E74" s="164">
        <f t="shared" si="1"/>
        <v>19523</v>
      </c>
    </row>
    <row r="75" spans="1:5">
      <c r="A75" s="162" t="s">
        <v>517</v>
      </c>
      <c r="B75" s="23" t="s">
        <v>653</v>
      </c>
      <c r="C75" s="164">
        <v>4406103</v>
      </c>
      <c r="D75" s="164">
        <v>117038</v>
      </c>
      <c r="E75" s="164">
        <f t="shared" si="1"/>
        <v>4523141</v>
      </c>
    </row>
    <row r="76" spans="1:5">
      <c r="A76" s="162" t="s">
        <v>420</v>
      </c>
      <c r="B76" s="23" t="s">
        <v>654</v>
      </c>
      <c r="C76" s="164">
        <v>925744</v>
      </c>
      <c r="D76" s="164">
        <v>30751</v>
      </c>
      <c r="E76" s="164">
        <f t="shared" si="1"/>
        <v>956495</v>
      </c>
    </row>
    <row r="77" spans="1:5">
      <c r="A77" s="162" t="s">
        <v>422</v>
      </c>
      <c r="B77" s="23" t="s">
        <v>655</v>
      </c>
      <c r="C77" s="164">
        <v>708610</v>
      </c>
      <c r="D77" s="164">
        <v>33950</v>
      </c>
      <c r="E77" s="164">
        <f t="shared" si="1"/>
        <v>742560</v>
      </c>
    </row>
    <row r="78" spans="1:5">
      <c r="A78" s="162" t="s">
        <v>424</v>
      </c>
      <c r="B78" s="23" t="s">
        <v>656</v>
      </c>
      <c r="C78" s="164">
        <v>223681</v>
      </c>
      <c r="D78" s="164">
        <v>8252</v>
      </c>
      <c r="E78" s="164">
        <f t="shared" si="1"/>
        <v>231933</v>
      </c>
    </row>
    <row r="79" spans="1:5">
      <c r="A79" s="162" t="s">
        <v>426</v>
      </c>
      <c r="B79" s="23" t="s">
        <v>657</v>
      </c>
      <c r="C79" s="164">
        <v>1547233</v>
      </c>
      <c r="D79" s="164">
        <v>48446</v>
      </c>
      <c r="E79" s="164">
        <f t="shared" si="1"/>
        <v>1595679</v>
      </c>
    </row>
    <row r="80" spans="1:5">
      <c r="A80" s="162" t="s">
        <v>428</v>
      </c>
      <c r="B80" s="23" t="s">
        <v>658</v>
      </c>
      <c r="C80" s="164">
        <v>137238</v>
      </c>
      <c r="D80" s="164">
        <v>2270</v>
      </c>
      <c r="E80" s="164">
        <f t="shared" si="1"/>
        <v>139508</v>
      </c>
    </row>
    <row r="81" spans="1:5">
      <c r="A81" s="162" t="s">
        <v>430</v>
      </c>
      <c r="B81" s="23" t="s">
        <v>659</v>
      </c>
      <c r="C81" s="164">
        <v>31293</v>
      </c>
      <c r="D81" s="164">
        <v>1523</v>
      </c>
      <c r="E81" s="164">
        <f t="shared" si="1"/>
        <v>32816</v>
      </c>
    </row>
    <row r="82" spans="1:5">
      <c r="A82" s="162" t="s">
        <v>436</v>
      </c>
      <c r="B82" s="23" t="s">
        <v>660</v>
      </c>
      <c r="C82" s="164">
        <v>172220</v>
      </c>
      <c r="D82" s="164">
        <v>6206</v>
      </c>
      <c r="E82" s="164">
        <f t="shared" si="1"/>
        <v>178426</v>
      </c>
    </row>
    <row r="83" spans="1:5">
      <c r="A83" s="162" t="s">
        <v>219</v>
      </c>
      <c r="B83" s="23" t="s">
        <v>661</v>
      </c>
      <c r="C83" s="164">
        <v>718778</v>
      </c>
      <c r="D83" s="164">
        <v>28137</v>
      </c>
      <c r="E83" s="164">
        <f t="shared" si="1"/>
        <v>746915</v>
      </c>
    </row>
    <row r="84" spans="1:5">
      <c r="A84" s="162" t="s">
        <v>221</v>
      </c>
      <c r="B84" s="23" t="s">
        <v>662</v>
      </c>
      <c r="C84" s="164">
        <v>298292</v>
      </c>
      <c r="D84" s="164">
        <v>10969</v>
      </c>
      <c r="E84" s="164">
        <f t="shared" si="1"/>
        <v>309261</v>
      </c>
    </row>
    <row r="85" spans="1:5">
      <c r="A85" s="162" t="s">
        <v>313</v>
      </c>
      <c r="B85" s="23" t="s">
        <v>663</v>
      </c>
      <c r="C85" s="164">
        <v>390019</v>
      </c>
      <c r="D85" s="164">
        <v>8666</v>
      </c>
      <c r="E85" s="164">
        <f t="shared" si="1"/>
        <v>398685</v>
      </c>
    </row>
    <row r="86" spans="1:5">
      <c r="A86" s="162" t="s">
        <v>439</v>
      </c>
      <c r="B86" s="23" t="s">
        <v>664</v>
      </c>
      <c r="C86" s="164">
        <v>35684</v>
      </c>
      <c r="D86" s="164">
        <v>567</v>
      </c>
      <c r="E86" s="164">
        <f t="shared" si="1"/>
        <v>36251</v>
      </c>
    </row>
    <row r="87" spans="1:5">
      <c r="A87" s="162" t="s">
        <v>441</v>
      </c>
      <c r="B87" s="23" t="s">
        <v>665</v>
      </c>
      <c r="C87" s="164">
        <v>7003</v>
      </c>
      <c r="D87" s="164">
        <v>505</v>
      </c>
      <c r="E87" s="164">
        <f t="shared" si="1"/>
        <v>7508</v>
      </c>
    </row>
    <row r="88" spans="1:5">
      <c r="A88" s="162" t="s">
        <v>445</v>
      </c>
      <c r="B88" s="23" t="s">
        <v>666</v>
      </c>
      <c r="C88" s="164">
        <v>97848</v>
      </c>
      <c r="D88" s="164">
        <v>3165</v>
      </c>
      <c r="E88" s="164">
        <f t="shared" si="1"/>
        <v>101013</v>
      </c>
    </row>
    <row r="89" spans="1:5">
      <c r="A89" s="162" t="s">
        <v>447</v>
      </c>
      <c r="B89" s="23" t="s">
        <v>667</v>
      </c>
      <c r="C89" s="164">
        <v>26477</v>
      </c>
      <c r="D89" s="164">
        <v>547</v>
      </c>
      <c r="E89" s="164">
        <f t="shared" si="1"/>
        <v>27024</v>
      </c>
    </row>
    <row r="90" spans="1:5">
      <c r="A90" s="162" t="s">
        <v>449</v>
      </c>
      <c r="B90" s="23" t="s">
        <v>668</v>
      </c>
      <c r="C90" s="164">
        <v>243094</v>
      </c>
      <c r="D90" s="164">
        <v>13266</v>
      </c>
      <c r="E90" s="164">
        <f t="shared" si="1"/>
        <v>256360</v>
      </c>
    </row>
    <row r="91" spans="1:5">
      <c r="A91" s="162" t="s">
        <v>332</v>
      </c>
      <c r="B91" s="23" t="s">
        <v>669</v>
      </c>
      <c r="C91" s="164">
        <v>3988831</v>
      </c>
      <c r="D91" s="164">
        <v>90039</v>
      </c>
      <c r="E91" s="164">
        <f t="shared" si="1"/>
        <v>4078870</v>
      </c>
    </row>
    <row r="92" spans="1:5">
      <c r="A92" s="162" t="s">
        <v>334</v>
      </c>
      <c r="B92" s="23" t="s">
        <v>670</v>
      </c>
      <c r="C92" s="164">
        <v>292197</v>
      </c>
      <c r="D92" s="164">
        <v>9009</v>
      </c>
      <c r="E92" s="164">
        <f t="shared" si="1"/>
        <v>301206</v>
      </c>
    </row>
    <row r="93" spans="1:5">
      <c r="A93" s="162" t="s">
        <v>336</v>
      </c>
      <c r="B93" s="23" t="s">
        <v>671</v>
      </c>
      <c r="C93" s="164">
        <v>71005</v>
      </c>
      <c r="D93" s="164">
        <v>6038</v>
      </c>
      <c r="E93" s="164">
        <f t="shared" si="1"/>
        <v>77043</v>
      </c>
    </row>
    <row r="94" spans="1:5">
      <c r="A94" s="162" t="s">
        <v>338</v>
      </c>
      <c r="B94" s="23" t="s">
        <v>672</v>
      </c>
      <c r="C94" s="164">
        <v>393615</v>
      </c>
      <c r="D94" s="164">
        <v>16414</v>
      </c>
      <c r="E94" s="164">
        <f t="shared" si="1"/>
        <v>410029</v>
      </c>
    </row>
    <row r="95" spans="1:5">
      <c r="A95" s="162" t="s">
        <v>964</v>
      </c>
      <c r="B95" s="23" t="s">
        <v>963</v>
      </c>
      <c r="C95" s="164">
        <v>70560</v>
      </c>
      <c r="D95" s="164">
        <v>169</v>
      </c>
      <c r="E95" s="164">
        <f t="shared" si="1"/>
        <v>70729</v>
      </c>
    </row>
    <row r="96" spans="1:5">
      <c r="A96" s="165" t="s">
        <v>1051</v>
      </c>
      <c r="B96" s="23" t="s">
        <v>1354</v>
      </c>
      <c r="C96" s="164">
        <v>19544</v>
      </c>
      <c r="D96" s="164">
        <v>0</v>
      </c>
      <c r="E96" s="164">
        <f t="shared" si="1"/>
        <v>19544</v>
      </c>
    </row>
    <row r="97" spans="1:5">
      <c r="A97" s="165" t="s">
        <v>1509</v>
      </c>
      <c r="B97" s="23" t="s">
        <v>1572</v>
      </c>
      <c r="C97" s="164">
        <v>16134</v>
      </c>
      <c r="D97" s="164">
        <v>0</v>
      </c>
      <c r="E97" s="164">
        <f t="shared" si="1"/>
        <v>16134</v>
      </c>
    </row>
    <row r="98" spans="1:5">
      <c r="A98" s="162" t="s">
        <v>340</v>
      </c>
      <c r="B98" s="23" t="s">
        <v>673</v>
      </c>
      <c r="C98" s="164">
        <v>57758</v>
      </c>
      <c r="D98" s="164">
        <v>1081</v>
      </c>
      <c r="E98" s="164">
        <f t="shared" si="1"/>
        <v>58839</v>
      </c>
    </row>
    <row r="99" spans="1:5">
      <c r="A99" s="162" t="s">
        <v>342</v>
      </c>
      <c r="B99" s="23" t="s">
        <v>674</v>
      </c>
      <c r="C99" s="164">
        <v>8306</v>
      </c>
      <c r="D99" s="164">
        <v>502</v>
      </c>
      <c r="E99" s="164">
        <f t="shared" si="1"/>
        <v>8808</v>
      </c>
    </row>
    <row r="100" spans="1:5">
      <c r="A100" s="162" t="s">
        <v>344</v>
      </c>
      <c r="B100" s="23" t="s">
        <v>675</v>
      </c>
      <c r="C100" s="164">
        <v>3293719</v>
      </c>
      <c r="D100" s="164">
        <v>72419</v>
      </c>
      <c r="E100" s="164">
        <f t="shared" si="1"/>
        <v>3366138</v>
      </c>
    </row>
    <row r="101" spans="1:5">
      <c r="A101" s="162" t="s">
        <v>454</v>
      </c>
      <c r="B101" s="23" t="s">
        <v>676</v>
      </c>
      <c r="C101" s="164">
        <v>9735</v>
      </c>
      <c r="D101" s="164">
        <v>999</v>
      </c>
      <c r="E101" s="164">
        <f t="shared" si="1"/>
        <v>10734</v>
      </c>
    </row>
    <row r="102" spans="1:5">
      <c r="A102" s="162" t="s">
        <v>456</v>
      </c>
      <c r="B102" s="23" t="s">
        <v>677</v>
      </c>
      <c r="C102" s="164">
        <v>994516</v>
      </c>
      <c r="D102" s="164">
        <v>25532</v>
      </c>
      <c r="E102" s="164">
        <f t="shared" si="1"/>
        <v>1020048</v>
      </c>
    </row>
    <row r="103" spans="1:5">
      <c r="A103" s="162" t="s">
        <v>458</v>
      </c>
      <c r="B103" s="23" t="s">
        <v>678</v>
      </c>
      <c r="C103" s="164">
        <v>3422479</v>
      </c>
      <c r="D103" s="164">
        <v>61210</v>
      </c>
      <c r="E103" s="164">
        <f t="shared" si="1"/>
        <v>3483689</v>
      </c>
    </row>
    <row r="104" spans="1:5">
      <c r="A104" s="162" t="s">
        <v>460</v>
      </c>
      <c r="B104" s="23" t="s">
        <v>679</v>
      </c>
      <c r="C104" s="164">
        <v>5083851</v>
      </c>
      <c r="D104" s="164">
        <v>125197</v>
      </c>
      <c r="E104" s="164">
        <f t="shared" si="1"/>
        <v>5209048</v>
      </c>
    </row>
    <row r="105" spans="1:5">
      <c r="A105" s="162" t="s">
        <v>479</v>
      </c>
      <c r="B105" s="23" t="s">
        <v>680</v>
      </c>
      <c r="C105" s="164">
        <v>202666</v>
      </c>
      <c r="D105" s="164">
        <v>5848</v>
      </c>
      <c r="E105" s="164">
        <f t="shared" si="1"/>
        <v>208514</v>
      </c>
    </row>
    <row r="106" spans="1:5">
      <c r="A106" s="162" t="s">
        <v>481</v>
      </c>
      <c r="B106" s="23" t="s">
        <v>849</v>
      </c>
      <c r="C106" s="164">
        <v>307239</v>
      </c>
      <c r="D106" s="164">
        <v>19773</v>
      </c>
      <c r="E106" s="164">
        <f t="shared" si="1"/>
        <v>327012</v>
      </c>
    </row>
    <row r="107" spans="1:5">
      <c r="A107" s="162" t="s">
        <v>482</v>
      </c>
      <c r="B107" s="23" t="s">
        <v>681</v>
      </c>
      <c r="C107" s="164">
        <v>120754</v>
      </c>
      <c r="D107" s="164">
        <v>2711</v>
      </c>
      <c r="E107" s="164">
        <f t="shared" si="1"/>
        <v>123465</v>
      </c>
    </row>
    <row r="108" spans="1:5">
      <c r="A108" s="162" t="s">
        <v>121</v>
      </c>
      <c r="B108" s="23" t="s">
        <v>682</v>
      </c>
      <c r="C108" s="164">
        <v>263327</v>
      </c>
      <c r="D108" s="164">
        <v>5970</v>
      </c>
      <c r="E108" s="164">
        <f t="shared" si="1"/>
        <v>269297</v>
      </c>
    </row>
    <row r="109" spans="1:5">
      <c r="A109" s="162" t="s">
        <v>295</v>
      </c>
      <c r="B109" s="23" t="s">
        <v>683</v>
      </c>
      <c r="C109" s="164">
        <v>137007</v>
      </c>
      <c r="D109" s="164">
        <v>6160</v>
      </c>
      <c r="E109" s="164">
        <f t="shared" si="1"/>
        <v>143167</v>
      </c>
    </row>
    <row r="110" spans="1:5">
      <c r="A110" s="162" t="s">
        <v>123</v>
      </c>
      <c r="B110" s="23" t="s">
        <v>684</v>
      </c>
      <c r="C110" s="164">
        <v>18851</v>
      </c>
      <c r="D110" s="164">
        <v>1017</v>
      </c>
      <c r="E110" s="164">
        <f t="shared" si="1"/>
        <v>19868</v>
      </c>
    </row>
    <row r="111" spans="1:5">
      <c r="A111" s="162" t="s">
        <v>124</v>
      </c>
      <c r="B111" s="23" t="s">
        <v>685</v>
      </c>
      <c r="C111" s="164">
        <v>263516</v>
      </c>
      <c r="D111" s="164">
        <v>10861</v>
      </c>
      <c r="E111" s="164">
        <f t="shared" si="1"/>
        <v>274377</v>
      </c>
    </row>
    <row r="112" spans="1:5">
      <c r="A112" s="162" t="s">
        <v>126</v>
      </c>
      <c r="B112" s="23" t="s">
        <v>686</v>
      </c>
      <c r="C112" s="164">
        <v>1473446</v>
      </c>
      <c r="D112" s="164">
        <v>46607</v>
      </c>
      <c r="E112" s="164">
        <f t="shared" si="1"/>
        <v>1520053</v>
      </c>
    </row>
    <row r="113" spans="1:5">
      <c r="A113" s="162" t="s">
        <v>128</v>
      </c>
      <c r="B113" s="23" t="s">
        <v>687</v>
      </c>
      <c r="C113" s="164">
        <v>5145151</v>
      </c>
      <c r="D113" s="164">
        <v>93539</v>
      </c>
      <c r="E113" s="164">
        <f t="shared" si="1"/>
        <v>5238690</v>
      </c>
    </row>
    <row r="114" spans="1:5">
      <c r="A114" s="162" t="s">
        <v>130</v>
      </c>
      <c r="B114" s="23" t="s">
        <v>688</v>
      </c>
      <c r="C114" s="164">
        <v>480931</v>
      </c>
      <c r="D114" s="164">
        <v>8353</v>
      </c>
      <c r="E114" s="164">
        <f t="shared" si="1"/>
        <v>489284</v>
      </c>
    </row>
    <row r="115" spans="1:5">
      <c r="A115" s="162" t="s">
        <v>132</v>
      </c>
      <c r="B115" s="23" t="s">
        <v>689</v>
      </c>
      <c r="C115" s="164">
        <v>6656</v>
      </c>
      <c r="D115" s="164">
        <v>16</v>
      </c>
      <c r="E115" s="164">
        <f t="shared" si="1"/>
        <v>6672</v>
      </c>
    </row>
    <row r="116" spans="1:5">
      <c r="A116" s="162" t="s">
        <v>462</v>
      </c>
      <c r="B116" s="23" t="s">
        <v>690</v>
      </c>
      <c r="C116" s="164">
        <v>136840</v>
      </c>
      <c r="D116" s="164">
        <v>4228</v>
      </c>
      <c r="E116" s="164">
        <f t="shared" si="1"/>
        <v>141068</v>
      </c>
    </row>
    <row r="117" spans="1:5">
      <c r="A117" s="162" t="s">
        <v>464</v>
      </c>
      <c r="B117" s="23" t="s">
        <v>691</v>
      </c>
      <c r="C117" s="164">
        <v>46281</v>
      </c>
      <c r="D117" s="164">
        <v>3046</v>
      </c>
      <c r="E117" s="164">
        <f t="shared" si="1"/>
        <v>49327</v>
      </c>
    </row>
    <row r="118" spans="1:5">
      <c r="A118" s="162" t="s">
        <v>466</v>
      </c>
      <c r="B118" s="23" t="s">
        <v>692</v>
      </c>
      <c r="C118" s="164">
        <v>1462899</v>
      </c>
      <c r="D118" s="164">
        <v>70575</v>
      </c>
      <c r="E118" s="164">
        <f t="shared" si="1"/>
        <v>1533474</v>
      </c>
    </row>
    <row r="119" spans="1:5">
      <c r="A119" s="162" t="s">
        <v>468</v>
      </c>
      <c r="B119" s="23" t="s">
        <v>693</v>
      </c>
      <c r="C119" s="164">
        <v>58645</v>
      </c>
      <c r="D119" s="164">
        <v>3553</v>
      </c>
      <c r="E119" s="164">
        <f t="shared" si="1"/>
        <v>62198</v>
      </c>
    </row>
    <row r="120" spans="1:5">
      <c r="A120" s="162" t="s">
        <v>470</v>
      </c>
      <c r="B120" s="23" t="s">
        <v>850</v>
      </c>
      <c r="C120" s="164">
        <v>58572</v>
      </c>
      <c r="D120" s="164">
        <v>1076</v>
      </c>
      <c r="E120" s="164">
        <f t="shared" si="1"/>
        <v>59648</v>
      </c>
    </row>
    <row r="121" spans="1:5">
      <c r="A121" s="165" t="s">
        <v>1052</v>
      </c>
      <c r="B121" s="23" t="s">
        <v>1048</v>
      </c>
      <c r="C121" s="164">
        <v>7584</v>
      </c>
      <c r="D121" s="164">
        <v>0</v>
      </c>
      <c r="E121" s="164">
        <f t="shared" si="1"/>
        <v>7584</v>
      </c>
    </row>
    <row r="122" spans="1:5">
      <c r="A122" s="162" t="s">
        <v>488</v>
      </c>
      <c r="B122" s="23" t="s">
        <v>694</v>
      </c>
      <c r="C122" s="164">
        <v>705379</v>
      </c>
      <c r="D122" s="164">
        <v>18825</v>
      </c>
      <c r="E122" s="164">
        <f t="shared" si="1"/>
        <v>724204</v>
      </c>
    </row>
    <row r="123" spans="1:5">
      <c r="A123" s="162" t="s">
        <v>490</v>
      </c>
      <c r="B123" s="23" t="s">
        <v>695</v>
      </c>
      <c r="C123" s="164">
        <v>182249</v>
      </c>
      <c r="D123" s="164">
        <v>6770</v>
      </c>
      <c r="E123" s="164">
        <f t="shared" si="1"/>
        <v>189019</v>
      </c>
    </row>
    <row r="124" spans="1:5">
      <c r="A124" s="162" t="s">
        <v>492</v>
      </c>
      <c r="B124" s="23" t="s">
        <v>696</v>
      </c>
      <c r="C124" s="164">
        <v>23576</v>
      </c>
      <c r="D124" s="164">
        <v>1023</v>
      </c>
      <c r="E124" s="164">
        <f t="shared" si="1"/>
        <v>24599</v>
      </c>
    </row>
    <row r="125" spans="1:5">
      <c r="A125" s="162" t="s">
        <v>494</v>
      </c>
      <c r="B125" s="23" t="s">
        <v>697</v>
      </c>
      <c r="C125" s="164">
        <v>136769</v>
      </c>
      <c r="D125" s="164">
        <v>7157</v>
      </c>
      <c r="E125" s="164">
        <f t="shared" si="1"/>
        <v>143926</v>
      </c>
    </row>
    <row r="126" spans="1:5">
      <c r="A126" s="162" t="s">
        <v>496</v>
      </c>
      <c r="B126" s="23" t="s">
        <v>851</v>
      </c>
      <c r="C126" s="164">
        <v>281250</v>
      </c>
      <c r="D126" s="164">
        <v>2731</v>
      </c>
      <c r="E126" s="164">
        <f t="shared" si="1"/>
        <v>283981</v>
      </c>
    </row>
    <row r="127" spans="1:5">
      <c r="A127" s="162" t="s">
        <v>497</v>
      </c>
      <c r="B127" s="23" t="s">
        <v>698</v>
      </c>
      <c r="C127" s="164">
        <v>121076</v>
      </c>
      <c r="D127" s="164">
        <v>8062</v>
      </c>
      <c r="E127" s="164">
        <f t="shared" si="1"/>
        <v>129138</v>
      </c>
    </row>
    <row r="128" spans="1:5">
      <c r="A128" s="162" t="s">
        <v>499</v>
      </c>
      <c r="B128" s="23" t="s">
        <v>699</v>
      </c>
      <c r="C128" s="164">
        <v>2160512</v>
      </c>
      <c r="D128" s="164">
        <v>66203</v>
      </c>
      <c r="E128" s="164">
        <f t="shared" si="1"/>
        <v>2226715</v>
      </c>
    </row>
    <row r="129" spans="1:5">
      <c r="A129" s="162" t="s">
        <v>38</v>
      </c>
      <c r="B129" s="23" t="s">
        <v>852</v>
      </c>
      <c r="C129" s="164">
        <v>56120</v>
      </c>
      <c r="D129" s="164">
        <v>3559</v>
      </c>
      <c r="E129" s="164">
        <f t="shared" si="1"/>
        <v>59679</v>
      </c>
    </row>
    <row r="130" spans="1:5">
      <c r="A130" s="162" t="s">
        <v>39</v>
      </c>
      <c r="B130" s="23" t="s">
        <v>700</v>
      </c>
      <c r="C130" s="164">
        <v>1808293</v>
      </c>
      <c r="D130" s="164">
        <v>29163</v>
      </c>
      <c r="E130" s="164">
        <f t="shared" si="1"/>
        <v>1837456</v>
      </c>
    </row>
    <row r="131" spans="1:5">
      <c r="A131" s="162" t="s">
        <v>41</v>
      </c>
      <c r="B131" s="23" t="s">
        <v>701</v>
      </c>
      <c r="C131" s="164">
        <v>376787</v>
      </c>
      <c r="D131" s="164">
        <v>21344</v>
      </c>
      <c r="E131" s="164">
        <f t="shared" ref="E131:E194" si="2">C131+D131</f>
        <v>398131</v>
      </c>
    </row>
    <row r="132" spans="1:5">
      <c r="A132" s="162" t="s">
        <v>43</v>
      </c>
      <c r="B132" s="23" t="s">
        <v>702</v>
      </c>
      <c r="C132" s="164">
        <v>730629</v>
      </c>
      <c r="D132" s="164">
        <v>6997</v>
      </c>
      <c r="E132" s="164">
        <f t="shared" si="2"/>
        <v>737626</v>
      </c>
    </row>
    <row r="133" spans="1:5">
      <c r="A133" s="162" t="s">
        <v>45</v>
      </c>
      <c r="B133" s="23" t="s">
        <v>703</v>
      </c>
      <c r="C133" s="164">
        <v>323187</v>
      </c>
      <c r="D133" s="164">
        <v>10023</v>
      </c>
      <c r="E133" s="164">
        <f t="shared" si="2"/>
        <v>333210</v>
      </c>
    </row>
    <row r="134" spans="1:5">
      <c r="A134" s="162" t="s">
        <v>71</v>
      </c>
      <c r="B134" s="23" t="s">
        <v>704</v>
      </c>
      <c r="C134" s="164">
        <v>1098307</v>
      </c>
      <c r="D134" s="164">
        <v>27415</v>
      </c>
      <c r="E134" s="164">
        <f t="shared" si="2"/>
        <v>1125722</v>
      </c>
    </row>
    <row r="135" spans="1:5">
      <c r="A135" s="162" t="s">
        <v>73</v>
      </c>
      <c r="B135" s="23" t="s">
        <v>705</v>
      </c>
      <c r="C135" s="164">
        <v>283926</v>
      </c>
      <c r="D135" s="164">
        <v>3966</v>
      </c>
      <c r="E135" s="164">
        <f t="shared" si="2"/>
        <v>287892</v>
      </c>
    </row>
    <row r="136" spans="1:5">
      <c r="A136" s="162" t="s">
        <v>75</v>
      </c>
      <c r="B136" s="23" t="s">
        <v>706</v>
      </c>
      <c r="C136" s="164">
        <v>90298</v>
      </c>
      <c r="D136" s="164">
        <v>7514</v>
      </c>
      <c r="E136" s="164">
        <f t="shared" si="2"/>
        <v>97812</v>
      </c>
    </row>
    <row r="137" spans="1:5">
      <c r="A137" s="162" t="s">
        <v>205</v>
      </c>
      <c r="B137" s="23" t="s">
        <v>707</v>
      </c>
      <c r="C137" s="164">
        <v>1570356</v>
      </c>
      <c r="D137" s="164">
        <v>64464</v>
      </c>
      <c r="E137" s="164">
        <f t="shared" si="2"/>
        <v>1634820</v>
      </c>
    </row>
    <row r="138" spans="1:5">
      <c r="A138" s="162" t="s">
        <v>207</v>
      </c>
      <c r="B138" s="23" t="s">
        <v>708</v>
      </c>
      <c r="C138" s="164">
        <v>123881</v>
      </c>
      <c r="D138" s="164">
        <v>5140</v>
      </c>
      <c r="E138" s="164">
        <f t="shared" si="2"/>
        <v>129021</v>
      </c>
    </row>
    <row r="139" spans="1:5">
      <c r="A139" s="162" t="s">
        <v>209</v>
      </c>
      <c r="B139" s="23" t="s">
        <v>709</v>
      </c>
      <c r="C139" s="164">
        <v>226903</v>
      </c>
      <c r="D139" s="164">
        <v>10245</v>
      </c>
      <c r="E139" s="164">
        <f t="shared" si="2"/>
        <v>237148</v>
      </c>
    </row>
    <row r="140" spans="1:5">
      <c r="A140" s="162" t="s">
        <v>211</v>
      </c>
      <c r="B140" s="23" t="s">
        <v>710</v>
      </c>
      <c r="C140" s="164">
        <v>375661</v>
      </c>
      <c r="D140" s="164">
        <v>13475</v>
      </c>
      <c r="E140" s="164">
        <f t="shared" si="2"/>
        <v>389136</v>
      </c>
    </row>
    <row r="141" spans="1:5">
      <c r="A141" s="162" t="s">
        <v>89</v>
      </c>
      <c r="B141" s="23" t="s">
        <v>711</v>
      </c>
      <c r="C141" s="164">
        <v>1370281</v>
      </c>
      <c r="D141" s="164">
        <v>49623</v>
      </c>
      <c r="E141" s="164">
        <f t="shared" si="2"/>
        <v>1419904</v>
      </c>
    </row>
    <row r="142" spans="1:5">
      <c r="A142" s="162" t="s">
        <v>90</v>
      </c>
      <c r="B142" s="23" t="s">
        <v>712</v>
      </c>
      <c r="C142" s="164">
        <v>2879604</v>
      </c>
      <c r="D142" s="164">
        <v>104577</v>
      </c>
      <c r="E142" s="164">
        <f t="shared" si="2"/>
        <v>2984181</v>
      </c>
    </row>
    <row r="143" spans="1:5">
      <c r="A143" s="162" t="s">
        <v>92</v>
      </c>
      <c r="B143" s="23" t="s">
        <v>713</v>
      </c>
      <c r="C143" s="164">
        <v>255873</v>
      </c>
      <c r="D143" s="164">
        <v>9833</v>
      </c>
      <c r="E143" s="164">
        <f t="shared" si="2"/>
        <v>265706</v>
      </c>
    </row>
    <row r="144" spans="1:5">
      <c r="A144" s="162" t="s">
        <v>94</v>
      </c>
      <c r="B144" s="23" t="s">
        <v>714</v>
      </c>
      <c r="C144" s="164">
        <v>155139</v>
      </c>
      <c r="D144" s="164">
        <v>10636</v>
      </c>
      <c r="E144" s="164">
        <f t="shared" si="2"/>
        <v>165775</v>
      </c>
    </row>
    <row r="145" spans="1:5">
      <c r="A145" s="162" t="s">
        <v>97</v>
      </c>
      <c r="B145" s="23" t="s">
        <v>715</v>
      </c>
      <c r="C145" s="164">
        <v>48070</v>
      </c>
      <c r="D145" s="164">
        <v>7941</v>
      </c>
      <c r="E145" s="164">
        <f t="shared" si="2"/>
        <v>56011</v>
      </c>
    </row>
    <row r="146" spans="1:5">
      <c r="A146" s="162" t="s">
        <v>99</v>
      </c>
      <c r="B146" s="23" t="s">
        <v>716</v>
      </c>
      <c r="C146" s="164">
        <v>248309</v>
      </c>
      <c r="D146" s="164">
        <v>31399</v>
      </c>
      <c r="E146" s="164">
        <f t="shared" si="2"/>
        <v>279708</v>
      </c>
    </row>
    <row r="147" spans="1:5">
      <c r="A147" s="162" t="s">
        <v>101</v>
      </c>
      <c r="B147" s="23" t="s">
        <v>717</v>
      </c>
      <c r="C147" s="164">
        <v>275920</v>
      </c>
      <c r="D147" s="164">
        <v>9828</v>
      </c>
      <c r="E147" s="164">
        <f t="shared" si="2"/>
        <v>285748</v>
      </c>
    </row>
    <row r="148" spans="1:5">
      <c r="A148" s="162" t="s">
        <v>103</v>
      </c>
      <c r="B148" s="23" t="s">
        <v>718</v>
      </c>
      <c r="C148" s="164">
        <v>384790</v>
      </c>
      <c r="D148" s="164">
        <v>12075</v>
      </c>
      <c r="E148" s="164">
        <f t="shared" si="2"/>
        <v>396865</v>
      </c>
    </row>
    <row r="149" spans="1:5">
      <c r="A149" s="162" t="s">
        <v>214</v>
      </c>
      <c r="B149" s="23" t="s">
        <v>719</v>
      </c>
      <c r="C149" s="164">
        <v>153420</v>
      </c>
      <c r="D149" s="164">
        <v>2774</v>
      </c>
      <c r="E149" s="164">
        <f t="shared" si="2"/>
        <v>156194</v>
      </c>
    </row>
    <row r="150" spans="1:5">
      <c r="A150" s="162" t="s">
        <v>216</v>
      </c>
      <c r="B150" s="23" t="s">
        <v>720</v>
      </c>
      <c r="C150" s="164">
        <v>413065</v>
      </c>
      <c r="D150" s="164">
        <v>15149</v>
      </c>
      <c r="E150" s="164">
        <f t="shared" si="2"/>
        <v>428214</v>
      </c>
    </row>
    <row r="151" spans="1:5">
      <c r="A151" s="162" t="s">
        <v>48</v>
      </c>
      <c r="B151" s="23" t="s">
        <v>721</v>
      </c>
      <c r="C151" s="164">
        <v>1112023</v>
      </c>
      <c r="D151" s="164">
        <v>34052</v>
      </c>
      <c r="E151" s="164">
        <f t="shared" si="2"/>
        <v>1146075</v>
      </c>
    </row>
    <row r="152" spans="1:5">
      <c r="A152" s="162" t="s">
        <v>50</v>
      </c>
      <c r="B152" s="23" t="s">
        <v>722</v>
      </c>
      <c r="C152" s="164">
        <v>478799</v>
      </c>
      <c r="D152" s="164">
        <v>13194</v>
      </c>
      <c r="E152" s="164">
        <f t="shared" si="2"/>
        <v>491993</v>
      </c>
    </row>
    <row r="153" spans="1:5">
      <c r="A153" s="162" t="s">
        <v>316</v>
      </c>
      <c r="B153" s="23" t="s">
        <v>723</v>
      </c>
      <c r="C153" s="164">
        <v>11168</v>
      </c>
      <c r="D153" s="164">
        <v>520</v>
      </c>
      <c r="E153" s="164">
        <f t="shared" si="2"/>
        <v>11688</v>
      </c>
    </row>
    <row r="154" spans="1:5">
      <c r="A154" s="162" t="s">
        <v>318</v>
      </c>
      <c r="B154" s="23" t="s">
        <v>724</v>
      </c>
      <c r="C154" s="164">
        <v>2871156</v>
      </c>
      <c r="D154" s="164">
        <v>84620</v>
      </c>
      <c r="E154" s="164">
        <f t="shared" si="2"/>
        <v>2955776</v>
      </c>
    </row>
    <row r="155" spans="1:5">
      <c r="A155" s="162" t="s">
        <v>320</v>
      </c>
      <c r="B155" s="23" t="s">
        <v>725</v>
      </c>
      <c r="C155" s="164">
        <v>46454</v>
      </c>
      <c r="D155" s="164">
        <v>600</v>
      </c>
      <c r="E155" s="164">
        <f t="shared" si="2"/>
        <v>47054</v>
      </c>
    </row>
    <row r="156" spans="1:5">
      <c r="A156" s="162" t="s">
        <v>322</v>
      </c>
      <c r="B156" s="23" t="s">
        <v>726</v>
      </c>
      <c r="C156" s="164">
        <v>4017347</v>
      </c>
      <c r="D156" s="164">
        <v>85533</v>
      </c>
      <c r="E156" s="164">
        <f t="shared" si="2"/>
        <v>4102880</v>
      </c>
    </row>
    <row r="157" spans="1:5">
      <c r="A157" s="162" t="s">
        <v>324</v>
      </c>
      <c r="B157" s="23" t="s">
        <v>727</v>
      </c>
      <c r="C157" s="164">
        <v>1151559</v>
      </c>
      <c r="D157" s="164">
        <v>54376</v>
      </c>
      <c r="E157" s="164">
        <f t="shared" si="2"/>
        <v>1205935</v>
      </c>
    </row>
    <row r="158" spans="1:5">
      <c r="A158" s="162" t="s">
        <v>326</v>
      </c>
      <c r="B158" s="23" t="s">
        <v>728</v>
      </c>
      <c r="C158" s="164">
        <v>27027</v>
      </c>
      <c r="D158" s="164">
        <v>1526</v>
      </c>
      <c r="E158" s="164">
        <f t="shared" si="2"/>
        <v>28553</v>
      </c>
    </row>
    <row r="159" spans="1:5">
      <c r="A159" s="162" t="s">
        <v>328</v>
      </c>
      <c r="B159" s="23" t="s">
        <v>729</v>
      </c>
      <c r="C159" s="164">
        <v>61889</v>
      </c>
      <c r="D159" s="164">
        <v>2583</v>
      </c>
      <c r="E159" s="164">
        <f t="shared" si="2"/>
        <v>64472</v>
      </c>
    </row>
    <row r="160" spans="1:5">
      <c r="A160" s="162" t="s">
        <v>104</v>
      </c>
      <c r="B160" s="23" t="s">
        <v>730</v>
      </c>
      <c r="C160" s="164">
        <v>165266</v>
      </c>
      <c r="D160" s="164">
        <v>8140</v>
      </c>
      <c r="E160" s="164">
        <f t="shared" si="2"/>
        <v>173406</v>
      </c>
    </row>
    <row r="161" spans="1:5">
      <c r="A161" s="162" t="s">
        <v>106</v>
      </c>
      <c r="B161" s="23" t="s">
        <v>731</v>
      </c>
      <c r="C161" s="164">
        <v>49009</v>
      </c>
      <c r="D161" s="164">
        <v>2053</v>
      </c>
      <c r="E161" s="164">
        <f t="shared" si="2"/>
        <v>51062</v>
      </c>
    </row>
    <row r="162" spans="1:5">
      <c r="A162" s="162" t="s">
        <v>108</v>
      </c>
      <c r="B162" s="23" t="s">
        <v>732</v>
      </c>
      <c r="C162" s="164">
        <v>226927</v>
      </c>
      <c r="D162" s="164">
        <v>8329</v>
      </c>
      <c r="E162" s="164">
        <f t="shared" si="2"/>
        <v>235256</v>
      </c>
    </row>
    <row r="163" spans="1:5">
      <c r="A163" s="162" t="s">
        <v>110</v>
      </c>
      <c r="B163" s="23" t="s">
        <v>733</v>
      </c>
      <c r="C163" s="164">
        <v>1915192</v>
      </c>
      <c r="D163" s="164">
        <v>65769</v>
      </c>
      <c r="E163" s="164">
        <f t="shared" si="2"/>
        <v>1980961</v>
      </c>
    </row>
    <row r="164" spans="1:5">
      <c r="A164" s="162" t="s">
        <v>112</v>
      </c>
      <c r="B164" s="23" t="s">
        <v>734</v>
      </c>
      <c r="C164" s="164">
        <v>1319804</v>
      </c>
      <c r="D164" s="164">
        <v>33809</v>
      </c>
      <c r="E164" s="164">
        <f t="shared" si="2"/>
        <v>1353613</v>
      </c>
    </row>
    <row r="165" spans="1:5">
      <c r="A165" s="162" t="s">
        <v>114</v>
      </c>
      <c r="B165" s="23" t="s">
        <v>735</v>
      </c>
      <c r="C165" s="164">
        <v>179642</v>
      </c>
      <c r="D165" s="164">
        <v>8699</v>
      </c>
      <c r="E165" s="164">
        <f t="shared" si="2"/>
        <v>188341</v>
      </c>
    </row>
    <row r="166" spans="1:5">
      <c r="A166" s="162" t="s">
        <v>116</v>
      </c>
      <c r="B166" s="23" t="s">
        <v>736</v>
      </c>
      <c r="C166" s="164">
        <v>9263</v>
      </c>
      <c r="D166" s="164">
        <v>1001</v>
      </c>
      <c r="E166" s="164">
        <f t="shared" si="2"/>
        <v>10264</v>
      </c>
    </row>
    <row r="167" spans="1:5">
      <c r="A167" s="162" t="s">
        <v>118</v>
      </c>
      <c r="B167" s="23" t="s">
        <v>737</v>
      </c>
      <c r="C167" s="164">
        <v>152331</v>
      </c>
      <c r="D167" s="164">
        <v>2292</v>
      </c>
      <c r="E167" s="164">
        <f t="shared" si="2"/>
        <v>154623</v>
      </c>
    </row>
    <row r="168" spans="1:5">
      <c r="A168" s="162" t="s">
        <v>119</v>
      </c>
      <c r="B168" s="23" t="s">
        <v>738</v>
      </c>
      <c r="C168" s="164">
        <v>46284</v>
      </c>
      <c r="D168" s="164">
        <v>2087</v>
      </c>
      <c r="E168" s="164">
        <f t="shared" si="2"/>
        <v>48371</v>
      </c>
    </row>
    <row r="169" spans="1:5">
      <c r="A169" s="162" t="s">
        <v>159</v>
      </c>
      <c r="B169" s="23" t="s">
        <v>739</v>
      </c>
      <c r="C169" s="164">
        <v>14096</v>
      </c>
      <c r="D169" s="164">
        <v>515</v>
      </c>
      <c r="E169" s="164">
        <f t="shared" si="2"/>
        <v>14611</v>
      </c>
    </row>
    <row r="170" spans="1:5">
      <c r="A170" s="162" t="s">
        <v>163</v>
      </c>
      <c r="B170" s="23" t="s">
        <v>740</v>
      </c>
      <c r="C170" s="164">
        <v>133539</v>
      </c>
      <c r="D170" s="164">
        <v>8104</v>
      </c>
      <c r="E170" s="164">
        <f t="shared" si="2"/>
        <v>141643</v>
      </c>
    </row>
    <row r="171" spans="1:5">
      <c r="A171" s="162" t="s">
        <v>165</v>
      </c>
      <c r="B171" s="23" t="s">
        <v>741</v>
      </c>
      <c r="C171" s="164">
        <v>429633</v>
      </c>
      <c r="D171" s="164">
        <v>10257</v>
      </c>
      <c r="E171" s="164">
        <f t="shared" si="2"/>
        <v>439890</v>
      </c>
    </row>
    <row r="172" spans="1:5">
      <c r="A172" s="162" t="s">
        <v>167</v>
      </c>
      <c r="B172" s="23" t="s">
        <v>742</v>
      </c>
      <c r="C172" s="164">
        <v>835224</v>
      </c>
      <c r="D172" s="164">
        <v>14297</v>
      </c>
      <c r="E172" s="164">
        <f t="shared" si="2"/>
        <v>849521</v>
      </c>
    </row>
    <row r="173" spans="1:5">
      <c r="A173" s="162" t="s">
        <v>169</v>
      </c>
      <c r="B173" s="23" t="s">
        <v>743</v>
      </c>
      <c r="C173" s="164">
        <v>8064</v>
      </c>
      <c r="D173" s="164">
        <v>997</v>
      </c>
      <c r="E173" s="164">
        <f t="shared" si="2"/>
        <v>9061</v>
      </c>
    </row>
    <row r="174" spans="1:5">
      <c r="A174" s="162" t="s">
        <v>0</v>
      </c>
      <c r="B174" s="23" t="s">
        <v>744</v>
      </c>
      <c r="C174" s="164">
        <v>42600</v>
      </c>
      <c r="D174" s="164">
        <v>2034</v>
      </c>
      <c r="E174" s="164">
        <f t="shared" si="2"/>
        <v>44634</v>
      </c>
    </row>
    <row r="175" spans="1:5">
      <c r="A175" s="162" t="s">
        <v>2</v>
      </c>
      <c r="B175" s="23" t="s">
        <v>745</v>
      </c>
      <c r="C175" s="164">
        <v>3275069</v>
      </c>
      <c r="D175" s="164">
        <v>52654</v>
      </c>
      <c r="E175" s="164">
        <f t="shared" si="2"/>
        <v>3327723</v>
      </c>
    </row>
    <row r="176" spans="1:5">
      <c r="A176" s="162" t="s">
        <v>388</v>
      </c>
      <c r="B176" s="23" t="s">
        <v>746</v>
      </c>
      <c r="C176" s="164">
        <v>56012</v>
      </c>
      <c r="D176" s="164">
        <v>1110</v>
      </c>
      <c r="E176" s="164">
        <f t="shared" si="2"/>
        <v>57122</v>
      </c>
    </row>
    <row r="177" spans="1:5">
      <c r="A177" s="162" t="s">
        <v>391</v>
      </c>
      <c r="B177" s="23" t="s">
        <v>747</v>
      </c>
      <c r="C177" s="164">
        <v>24710</v>
      </c>
      <c r="D177" s="164">
        <v>555</v>
      </c>
      <c r="E177" s="164">
        <f t="shared" si="2"/>
        <v>25265</v>
      </c>
    </row>
    <row r="178" spans="1:5">
      <c r="A178" s="162" t="s">
        <v>393</v>
      </c>
      <c r="B178" s="23" t="s">
        <v>748</v>
      </c>
      <c r="C178" s="164">
        <v>57978</v>
      </c>
      <c r="D178" s="164">
        <v>3061</v>
      </c>
      <c r="E178" s="164">
        <f t="shared" si="2"/>
        <v>61039</v>
      </c>
    </row>
    <row r="179" spans="1:5">
      <c r="A179" s="162" t="s">
        <v>395</v>
      </c>
      <c r="B179" s="23" t="s">
        <v>749</v>
      </c>
      <c r="C179" s="164">
        <v>1733209</v>
      </c>
      <c r="D179" s="164">
        <v>56879</v>
      </c>
      <c r="E179" s="164">
        <f t="shared" si="2"/>
        <v>1790088</v>
      </c>
    </row>
    <row r="180" spans="1:5">
      <c r="A180" s="165" t="s">
        <v>1515</v>
      </c>
      <c r="B180" s="23" t="s">
        <v>1567</v>
      </c>
      <c r="C180" s="164">
        <v>16315</v>
      </c>
      <c r="D180" s="164">
        <v>0</v>
      </c>
      <c r="E180" s="164">
        <f t="shared" si="2"/>
        <v>16315</v>
      </c>
    </row>
    <row r="181" spans="1:5">
      <c r="A181" s="162" t="s">
        <v>397</v>
      </c>
      <c r="B181" s="23" t="s">
        <v>750</v>
      </c>
      <c r="C181" s="164">
        <v>164971</v>
      </c>
      <c r="D181" s="164">
        <v>9128</v>
      </c>
      <c r="E181" s="164">
        <f t="shared" si="2"/>
        <v>174099</v>
      </c>
    </row>
    <row r="182" spans="1:5">
      <c r="A182" s="162" t="s">
        <v>399</v>
      </c>
      <c r="B182" s="23" t="s">
        <v>751</v>
      </c>
      <c r="C182" s="164">
        <v>77201</v>
      </c>
      <c r="D182" s="164">
        <v>3582</v>
      </c>
      <c r="E182" s="164">
        <f t="shared" si="2"/>
        <v>80783</v>
      </c>
    </row>
    <row r="183" spans="1:5">
      <c r="A183" s="162" t="s">
        <v>401</v>
      </c>
      <c r="B183" s="23" t="s">
        <v>752</v>
      </c>
      <c r="C183" s="164">
        <v>854217</v>
      </c>
      <c r="D183" s="164">
        <v>30452</v>
      </c>
      <c r="E183" s="164">
        <f t="shared" si="2"/>
        <v>884669</v>
      </c>
    </row>
    <row r="184" spans="1:5">
      <c r="A184" s="162" t="s">
        <v>384</v>
      </c>
      <c r="B184" s="23" t="s">
        <v>753</v>
      </c>
      <c r="C184" s="164">
        <v>266609</v>
      </c>
      <c r="D184" s="164">
        <v>17192</v>
      </c>
      <c r="E184" s="164">
        <f t="shared" si="2"/>
        <v>283801</v>
      </c>
    </row>
    <row r="185" spans="1:5">
      <c r="A185" s="162" t="s">
        <v>386</v>
      </c>
      <c r="B185" s="23" t="s">
        <v>754</v>
      </c>
      <c r="C185" s="164">
        <v>56384</v>
      </c>
      <c r="D185" s="164">
        <v>1592</v>
      </c>
      <c r="E185" s="164">
        <f t="shared" si="2"/>
        <v>57976</v>
      </c>
    </row>
    <row r="186" spans="1:5">
      <c r="A186" s="162" t="s">
        <v>936</v>
      </c>
      <c r="B186" s="23" t="s">
        <v>916</v>
      </c>
      <c r="C186" s="164">
        <v>119645</v>
      </c>
      <c r="D186" s="164">
        <v>287</v>
      </c>
      <c r="E186" s="164">
        <f t="shared" si="2"/>
        <v>119932</v>
      </c>
    </row>
    <row r="187" spans="1:5">
      <c r="A187" s="162" t="s">
        <v>348</v>
      </c>
      <c r="B187" s="23" t="s">
        <v>755</v>
      </c>
      <c r="C187" s="164">
        <v>515284</v>
      </c>
      <c r="D187" s="164">
        <v>18290</v>
      </c>
      <c r="E187" s="164">
        <f t="shared" si="2"/>
        <v>533574</v>
      </c>
    </row>
    <row r="188" spans="1:5">
      <c r="A188" s="162" t="s">
        <v>350</v>
      </c>
      <c r="B188" s="23" t="s">
        <v>756</v>
      </c>
      <c r="C188" s="164">
        <v>448111</v>
      </c>
      <c r="D188" s="164">
        <v>8851</v>
      </c>
      <c r="E188" s="164">
        <f t="shared" si="2"/>
        <v>456962</v>
      </c>
    </row>
    <row r="189" spans="1:5">
      <c r="A189" s="165" t="s">
        <v>1518</v>
      </c>
      <c r="B189" s="23" t="s">
        <v>1573</v>
      </c>
      <c r="C189" s="164">
        <v>11985</v>
      </c>
      <c r="D189" s="164">
        <v>0</v>
      </c>
      <c r="E189" s="164">
        <f t="shared" si="2"/>
        <v>11985</v>
      </c>
    </row>
    <row r="190" spans="1:5">
      <c r="A190" s="162" t="s">
        <v>352</v>
      </c>
      <c r="B190" s="23" t="s">
        <v>757</v>
      </c>
      <c r="C190" s="164">
        <v>4219513</v>
      </c>
      <c r="D190" s="164">
        <v>110088</v>
      </c>
      <c r="E190" s="164">
        <f t="shared" si="2"/>
        <v>4329601</v>
      </c>
    </row>
    <row r="191" spans="1:5">
      <c r="A191" s="162" t="s">
        <v>354</v>
      </c>
      <c r="B191" s="23" t="s">
        <v>758</v>
      </c>
      <c r="C191" s="164">
        <v>7605</v>
      </c>
      <c r="D191" s="164">
        <v>505</v>
      </c>
      <c r="E191" s="164">
        <f t="shared" si="2"/>
        <v>8110</v>
      </c>
    </row>
    <row r="192" spans="1:5">
      <c r="A192" s="162" t="s">
        <v>67</v>
      </c>
      <c r="B192" s="23" t="s">
        <v>759</v>
      </c>
      <c r="C192" s="164">
        <v>108666</v>
      </c>
      <c r="D192" s="164">
        <v>1711</v>
      </c>
      <c r="E192" s="164">
        <f t="shared" si="2"/>
        <v>110377</v>
      </c>
    </row>
    <row r="193" spans="1:5">
      <c r="A193" s="162" t="s">
        <v>243</v>
      </c>
      <c r="B193" s="23" t="s">
        <v>760</v>
      </c>
      <c r="C193" s="164">
        <v>564174</v>
      </c>
      <c r="D193" s="164">
        <v>14102</v>
      </c>
      <c r="E193" s="164">
        <f t="shared" si="2"/>
        <v>578276</v>
      </c>
    </row>
    <row r="194" spans="1:5">
      <c r="A194" s="162" t="s">
        <v>362</v>
      </c>
      <c r="B194" s="23" t="s">
        <v>761</v>
      </c>
      <c r="C194" s="164">
        <v>566985</v>
      </c>
      <c r="D194" s="164">
        <v>15581</v>
      </c>
      <c r="E194" s="164">
        <f t="shared" si="2"/>
        <v>582566</v>
      </c>
    </row>
    <row r="195" spans="1:5">
      <c r="A195" s="162" t="s">
        <v>364</v>
      </c>
      <c r="B195" s="23" t="s">
        <v>762</v>
      </c>
      <c r="C195" s="164">
        <v>176813</v>
      </c>
      <c r="D195" s="164">
        <v>2795</v>
      </c>
      <c r="E195" s="164">
        <f t="shared" ref="E195:E258" si="3">C195+D195</f>
        <v>179608</v>
      </c>
    </row>
    <row r="196" spans="1:5">
      <c r="A196" s="162" t="s">
        <v>935</v>
      </c>
      <c r="B196" s="23" t="s">
        <v>917</v>
      </c>
      <c r="C196" s="164">
        <v>60752</v>
      </c>
      <c r="D196" s="164">
        <v>145</v>
      </c>
      <c r="E196" s="164">
        <f t="shared" si="3"/>
        <v>60897</v>
      </c>
    </row>
    <row r="197" spans="1:5">
      <c r="A197" s="162" t="s">
        <v>961</v>
      </c>
      <c r="B197" s="23" t="s">
        <v>1574</v>
      </c>
      <c r="C197" s="164">
        <v>91799</v>
      </c>
      <c r="D197" s="164">
        <v>67</v>
      </c>
      <c r="E197" s="164">
        <f t="shared" si="3"/>
        <v>91866</v>
      </c>
    </row>
    <row r="198" spans="1:5">
      <c r="A198" s="162" t="s">
        <v>368</v>
      </c>
      <c r="B198" s="23" t="s">
        <v>764</v>
      </c>
      <c r="C198" s="164">
        <v>136806</v>
      </c>
      <c r="D198" s="164">
        <v>1773</v>
      </c>
      <c r="E198" s="164">
        <f t="shared" si="3"/>
        <v>138579</v>
      </c>
    </row>
    <row r="199" spans="1:5">
      <c r="A199" s="162" t="s">
        <v>370</v>
      </c>
      <c r="B199" s="23" t="s">
        <v>765</v>
      </c>
      <c r="C199" s="164">
        <v>3009496</v>
      </c>
      <c r="D199" s="164">
        <v>80676</v>
      </c>
      <c r="E199" s="164">
        <f t="shared" si="3"/>
        <v>3090172</v>
      </c>
    </row>
    <row r="200" spans="1:5">
      <c r="A200" s="162" t="s">
        <v>372</v>
      </c>
      <c r="B200" s="23" t="s">
        <v>766</v>
      </c>
      <c r="C200" s="164">
        <v>83433</v>
      </c>
      <c r="D200" s="164">
        <v>1147</v>
      </c>
      <c r="E200" s="164">
        <f t="shared" si="3"/>
        <v>84580</v>
      </c>
    </row>
    <row r="201" spans="1:5">
      <c r="A201" s="162" t="s">
        <v>374</v>
      </c>
      <c r="B201" s="23" t="s">
        <v>767</v>
      </c>
      <c r="C201" s="164">
        <v>2429072</v>
      </c>
      <c r="D201" s="164">
        <v>54603</v>
      </c>
      <c r="E201" s="164">
        <f t="shared" si="3"/>
        <v>2483675</v>
      </c>
    </row>
    <row r="202" spans="1:5">
      <c r="A202" s="162" t="s">
        <v>376</v>
      </c>
      <c r="B202" s="23" t="s">
        <v>918</v>
      </c>
      <c r="C202" s="164">
        <v>526777</v>
      </c>
      <c r="D202" s="164">
        <v>7092</v>
      </c>
      <c r="E202" s="164">
        <f t="shared" si="3"/>
        <v>533869</v>
      </c>
    </row>
    <row r="203" spans="1:5">
      <c r="A203" s="162" t="s">
        <v>378</v>
      </c>
      <c r="B203" s="23" t="s">
        <v>768</v>
      </c>
      <c r="C203" s="164">
        <v>69025</v>
      </c>
      <c r="D203" s="164">
        <v>4071</v>
      </c>
      <c r="E203" s="164">
        <f t="shared" si="3"/>
        <v>73096</v>
      </c>
    </row>
    <row r="204" spans="1:5">
      <c r="A204" s="162" t="s">
        <v>380</v>
      </c>
      <c r="B204" s="23" t="s">
        <v>769</v>
      </c>
      <c r="C204" s="164">
        <v>365114</v>
      </c>
      <c r="D204" s="164">
        <v>16315</v>
      </c>
      <c r="E204" s="164">
        <f t="shared" si="3"/>
        <v>381429</v>
      </c>
    </row>
    <row r="205" spans="1:5">
      <c r="A205" s="162" t="s">
        <v>382</v>
      </c>
      <c r="B205" s="23" t="s">
        <v>770</v>
      </c>
      <c r="C205" s="164">
        <v>540087</v>
      </c>
      <c r="D205" s="164">
        <v>12876</v>
      </c>
      <c r="E205" s="164">
        <f t="shared" si="3"/>
        <v>552963</v>
      </c>
    </row>
    <row r="206" spans="1:5">
      <c r="A206" s="162" t="s">
        <v>270</v>
      </c>
      <c r="B206" s="23" t="s">
        <v>771</v>
      </c>
      <c r="C206" s="164">
        <v>502567</v>
      </c>
      <c r="D206" s="164">
        <v>16605</v>
      </c>
      <c r="E206" s="164">
        <f t="shared" si="3"/>
        <v>519172</v>
      </c>
    </row>
    <row r="207" spans="1:5">
      <c r="A207" s="162" t="s">
        <v>274</v>
      </c>
      <c r="B207" s="23" t="s">
        <v>772</v>
      </c>
      <c r="C207" s="164">
        <v>43912</v>
      </c>
      <c r="D207" s="164">
        <v>1552</v>
      </c>
      <c r="E207" s="164">
        <f t="shared" si="3"/>
        <v>45464</v>
      </c>
    </row>
    <row r="208" spans="1:5">
      <c r="A208" s="162" t="s">
        <v>276</v>
      </c>
      <c r="B208" s="23" t="s">
        <v>773</v>
      </c>
      <c r="C208" s="164">
        <v>301285</v>
      </c>
      <c r="D208" s="164">
        <v>15450</v>
      </c>
      <c r="E208" s="164">
        <f t="shared" si="3"/>
        <v>316735</v>
      </c>
    </row>
    <row r="209" spans="1:5">
      <c r="A209" s="162" t="s">
        <v>546</v>
      </c>
      <c r="B209" s="23" t="s">
        <v>853</v>
      </c>
      <c r="C209" s="164">
        <v>178246</v>
      </c>
      <c r="D209" s="164">
        <v>6234</v>
      </c>
      <c r="E209" s="164">
        <f t="shared" si="3"/>
        <v>184480</v>
      </c>
    </row>
    <row r="210" spans="1:5">
      <c r="A210" s="162" t="s">
        <v>547</v>
      </c>
      <c r="B210" s="23" t="s">
        <v>774</v>
      </c>
      <c r="C210" s="164">
        <v>13330</v>
      </c>
      <c r="D210" s="164">
        <v>513</v>
      </c>
      <c r="E210" s="164">
        <f t="shared" si="3"/>
        <v>13843</v>
      </c>
    </row>
    <row r="211" spans="1:5">
      <c r="A211" s="162" t="s">
        <v>549</v>
      </c>
      <c r="B211" s="23" t="s">
        <v>775</v>
      </c>
      <c r="C211" s="164">
        <v>11140171</v>
      </c>
      <c r="D211" s="164">
        <v>267852</v>
      </c>
      <c r="E211" s="164">
        <f t="shared" si="3"/>
        <v>11408023</v>
      </c>
    </row>
    <row r="212" spans="1:5">
      <c r="A212" s="162" t="s">
        <v>551</v>
      </c>
      <c r="B212" s="23" t="s">
        <v>857</v>
      </c>
      <c r="C212" s="164">
        <v>891693</v>
      </c>
      <c r="D212" s="164">
        <v>44518</v>
      </c>
      <c r="E212" s="164">
        <f t="shared" si="3"/>
        <v>936211</v>
      </c>
    </row>
    <row r="213" spans="1:5">
      <c r="A213" s="162" t="s">
        <v>553</v>
      </c>
      <c r="B213" s="23" t="s">
        <v>776</v>
      </c>
      <c r="C213" s="164">
        <v>764678</v>
      </c>
      <c r="D213" s="164">
        <v>15723</v>
      </c>
      <c r="E213" s="164">
        <f t="shared" si="3"/>
        <v>780401</v>
      </c>
    </row>
    <row r="214" spans="1:5">
      <c r="A214" s="162" t="s">
        <v>555</v>
      </c>
      <c r="B214" s="23" t="s">
        <v>777</v>
      </c>
      <c r="C214" s="164">
        <v>66354</v>
      </c>
      <c r="D214" s="164">
        <v>7475</v>
      </c>
      <c r="E214" s="164">
        <f t="shared" si="3"/>
        <v>73829</v>
      </c>
    </row>
    <row r="215" spans="1:5">
      <c r="A215" s="162" t="s">
        <v>557</v>
      </c>
      <c r="B215" s="23" t="s">
        <v>778</v>
      </c>
      <c r="C215" s="164">
        <v>484447</v>
      </c>
      <c r="D215" s="164">
        <v>11831</v>
      </c>
      <c r="E215" s="164">
        <f t="shared" si="3"/>
        <v>496278</v>
      </c>
    </row>
    <row r="216" spans="1:5">
      <c r="A216" s="162" t="s">
        <v>559</v>
      </c>
      <c r="B216" s="23" t="s">
        <v>779</v>
      </c>
      <c r="C216" s="164">
        <v>1420</v>
      </c>
      <c r="D216" s="164">
        <v>495</v>
      </c>
      <c r="E216" s="164">
        <f t="shared" si="3"/>
        <v>1915</v>
      </c>
    </row>
    <row r="217" spans="1:5">
      <c r="A217" s="162" t="s">
        <v>561</v>
      </c>
      <c r="B217" s="23" t="s">
        <v>780</v>
      </c>
      <c r="C217" s="164">
        <v>887392</v>
      </c>
      <c r="D217" s="164">
        <v>32365</v>
      </c>
      <c r="E217" s="164">
        <f t="shared" si="3"/>
        <v>919757</v>
      </c>
    </row>
    <row r="218" spans="1:5">
      <c r="A218" s="162" t="s">
        <v>563</v>
      </c>
      <c r="B218" s="23" t="s">
        <v>781</v>
      </c>
      <c r="C218" s="164">
        <v>2034174</v>
      </c>
      <c r="D218" s="164">
        <v>71866</v>
      </c>
      <c r="E218" s="164">
        <f t="shared" si="3"/>
        <v>2106040</v>
      </c>
    </row>
    <row r="219" spans="1:5">
      <c r="A219" s="162" t="s">
        <v>77</v>
      </c>
      <c r="B219" s="23" t="s">
        <v>782</v>
      </c>
      <c r="C219" s="164">
        <v>12849</v>
      </c>
      <c r="D219" s="164">
        <v>1005</v>
      </c>
      <c r="E219" s="164">
        <f t="shared" si="3"/>
        <v>13854</v>
      </c>
    </row>
    <row r="220" spans="1:5">
      <c r="A220" s="162" t="s">
        <v>79</v>
      </c>
      <c r="B220" s="23" t="s">
        <v>783</v>
      </c>
      <c r="C220" s="164">
        <v>1663864</v>
      </c>
      <c r="D220" s="164">
        <v>69234</v>
      </c>
      <c r="E220" s="164">
        <f t="shared" si="3"/>
        <v>1733098</v>
      </c>
    </row>
    <row r="221" spans="1:5">
      <c r="A221" s="162" t="s">
        <v>81</v>
      </c>
      <c r="B221" s="23" t="s">
        <v>784</v>
      </c>
      <c r="C221" s="164">
        <v>1093137</v>
      </c>
      <c r="D221" s="164">
        <v>27970</v>
      </c>
      <c r="E221" s="164">
        <f t="shared" si="3"/>
        <v>1121107</v>
      </c>
    </row>
    <row r="222" spans="1:5">
      <c r="A222" s="162" t="s">
        <v>83</v>
      </c>
      <c r="B222" s="23" t="s">
        <v>785</v>
      </c>
      <c r="C222" s="164">
        <v>116220</v>
      </c>
      <c r="D222" s="164">
        <v>2212</v>
      </c>
      <c r="E222" s="164">
        <f t="shared" si="3"/>
        <v>118432</v>
      </c>
    </row>
    <row r="223" spans="1:5">
      <c r="A223" s="162" t="s">
        <v>85</v>
      </c>
      <c r="B223" s="23" t="s">
        <v>786</v>
      </c>
      <c r="C223" s="164">
        <v>128765</v>
      </c>
      <c r="D223" s="164">
        <v>2730</v>
      </c>
      <c r="E223" s="164">
        <f t="shared" si="3"/>
        <v>131495</v>
      </c>
    </row>
    <row r="224" spans="1:5">
      <c r="A224" s="162" t="s">
        <v>567</v>
      </c>
      <c r="B224" s="23" t="s">
        <v>787</v>
      </c>
      <c r="C224" s="164">
        <v>2097806</v>
      </c>
      <c r="D224" s="164">
        <v>49550</v>
      </c>
      <c r="E224" s="164">
        <f t="shared" si="3"/>
        <v>2147356</v>
      </c>
    </row>
    <row r="225" spans="1:5">
      <c r="A225" s="162" t="s">
        <v>569</v>
      </c>
      <c r="B225" s="23" t="s">
        <v>788</v>
      </c>
      <c r="C225" s="164">
        <v>317221</v>
      </c>
      <c r="D225" s="164">
        <v>9834</v>
      </c>
      <c r="E225" s="164">
        <f t="shared" si="3"/>
        <v>327055</v>
      </c>
    </row>
    <row r="226" spans="1:5">
      <c r="A226" s="162" t="s">
        <v>571</v>
      </c>
      <c r="B226" s="23" t="s">
        <v>789</v>
      </c>
      <c r="C226" s="164">
        <v>41976</v>
      </c>
      <c r="D226" s="164">
        <v>1060</v>
      </c>
      <c r="E226" s="164">
        <f t="shared" si="3"/>
        <v>43036</v>
      </c>
    </row>
    <row r="227" spans="1:5">
      <c r="A227" s="162" t="s">
        <v>573</v>
      </c>
      <c r="B227" s="23" t="s">
        <v>790</v>
      </c>
      <c r="C227" s="164">
        <v>6326173</v>
      </c>
      <c r="D227" s="164">
        <v>162312</v>
      </c>
      <c r="E227" s="164">
        <f t="shared" si="3"/>
        <v>6488485</v>
      </c>
    </row>
    <row r="228" spans="1:5">
      <c r="A228" s="162" t="s">
        <v>937</v>
      </c>
      <c r="B228" s="23" t="s">
        <v>921</v>
      </c>
      <c r="C228" s="164">
        <v>91042</v>
      </c>
      <c r="D228" s="164">
        <v>581</v>
      </c>
      <c r="E228" s="164">
        <f t="shared" si="3"/>
        <v>91623</v>
      </c>
    </row>
    <row r="229" spans="1:5">
      <c r="A229" s="162" t="s">
        <v>541</v>
      </c>
      <c r="B229" s="23" t="s">
        <v>791</v>
      </c>
      <c r="C229" s="164">
        <v>19540</v>
      </c>
      <c r="D229" s="164">
        <v>522</v>
      </c>
      <c r="E229" s="164">
        <f t="shared" si="3"/>
        <v>20062</v>
      </c>
    </row>
    <row r="230" spans="1:5">
      <c r="A230" s="162" t="s">
        <v>543</v>
      </c>
      <c r="B230" s="23" t="s">
        <v>854</v>
      </c>
      <c r="C230" s="164">
        <v>29751</v>
      </c>
      <c r="D230" s="164">
        <v>2516</v>
      </c>
      <c r="E230" s="164">
        <f t="shared" si="3"/>
        <v>32267</v>
      </c>
    </row>
    <row r="231" spans="1:5">
      <c r="A231" s="162" t="s">
        <v>57</v>
      </c>
      <c r="B231" s="23" t="s">
        <v>792</v>
      </c>
      <c r="C231" s="164">
        <v>868931</v>
      </c>
      <c r="D231" s="164">
        <v>34155</v>
      </c>
      <c r="E231" s="164">
        <f t="shared" si="3"/>
        <v>903086</v>
      </c>
    </row>
    <row r="232" spans="1:5">
      <c r="A232" s="162" t="s">
        <v>59</v>
      </c>
      <c r="B232" s="23" t="s">
        <v>793</v>
      </c>
      <c r="C232" s="164">
        <v>2209</v>
      </c>
      <c r="D232" s="164">
        <v>989</v>
      </c>
      <c r="E232" s="164">
        <f t="shared" si="3"/>
        <v>3198</v>
      </c>
    </row>
    <row r="233" spans="1:5">
      <c r="A233" s="162" t="s">
        <v>61</v>
      </c>
      <c r="B233" s="23" t="s">
        <v>794</v>
      </c>
      <c r="C233" s="164">
        <v>5608</v>
      </c>
      <c r="D233" s="164">
        <v>991</v>
      </c>
      <c r="E233" s="164">
        <f t="shared" si="3"/>
        <v>6599</v>
      </c>
    </row>
    <row r="234" spans="1:5">
      <c r="A234" s="162" t="s">
        <v>63</v>
      </c>
      <c r="B234" s="23" t="s">
        <v>795</v>
      </c>
      <c r="C234" s="164">
        <v>225</v>
      </c>
      <c r="D234" s="164">
        <v>1</v>
      </c>
      <c r="E234" s="164">
        <f t="shared" si="3"/>
        <v>226</v>
      </c>
    </row>
    <row r="235" spans="1:5">
      <c r="A235" s="162" t="s">
        <v>65</v>
      </c>
      <c r="B235" s="23" t="s">
        <v>855</v>
      </c>
      <c r="C235" s="164">
        <v>508750</v>
      </c>
      <c r="D235" s="164">
        <v>18348</v>
      </c>
      <c r="E235" s="164">
        <f t="shared" si="3"/>
        <v>527098</v>
      </c>
    </row>
    <row r="236" spans="1:5">
      <c r="A236" s="162" t="s">
        <v>66</v>
      </c>
      <c r="B236" s="23" t="s">
        <v>796</v>
      </c>
      <c r="C236" s="164">
        <v>10255</v>
      </c>
      <c r="D236" s="164">
        <v>514</v>
      </c>
      <c r="E236" s="164">
        <f t="shared" si="3"/>
        <v>10769</v>
      </c>
    </row>
    <row r="237" spans="1:5">
      <c r="A237" s="162" t="s">
        <v>7</v>
      </c>
      <c r="B237" s="23" t="s">
        <v>797</v>
      </c>
      <c r="C237" s="164">
        <v>431397</v>
      </c>
      <c r="D237" s="164">
        <v>22872</v>
      </c>
      <c r="E237" s="164">
        <f t="shared" si="3"/>
        <v>454269</v>
      </c>
    </row>
    <row r="238" spans="1:5">
      <c r="A238" s="162" t="s">
        <v>954</v>
      </c>
      <c r="B238" s="23" t="s">
        <v>960</v>
      </c>
      <c r="C238" s="164">
        <v>147823</v>
      </c>
      <c r="D238" s="164">
        <v>191</v>
      </c>
      <c r="E238" s="164">
        <f t="shared" si="3"/>
        <v>148014</v>
      </c>
    </row>
    <row r="239" spans="1:5">
      <c r="A239" s="162" t="s">
        <v>934</v>
      </c>
      <c r="B239" s="23" t="s">
        <v>923</v>
      </c>
      <c r="C239" s="164">
        <v>43064</v>
      </c>
      <c r="D239" s="164">
        <v>80</v>
      </c>
      <c r="E239" s="164">
        <f t="shared" si="3"/>
        <v>43144</v>
      </c>
    </row>
    <row r="240" spans="1:5">
      <c r="A240" s="162" t="s">
        <v>933</v>
      </c>
      <c r="B240" s="23" t="s">
        <v>924</v>
      </c>
      <c r="C240" s="164">
        <v>59572</v>
      </c>
      <c r="D240" s="164">
        <v>139</v>
      </c>
      <c r="E240" s="164">
        <f t="shared" si="3"/>
        <v>59711</v>
      </c>
    </row>
    <row r="241" spans="1:5">
      <c r="A241" s="162" t="s">
        <v>9</v>
      </c>
      <c r="B241" s="23" t="s">
        <v>798</v>
      </c>
      <c r="C241" s="164">
        <v>12819</v>
      </c>
      <c r="D241" s="164">
        <v>516</v>
      </c>
      <c r="E241" s="164">
        <f t="shared" si="3"/>
        <v>13335</v>
      </c>
    </row>
    <row r="242" spans="1:5">
      <c r="A242" s="162" t="s">
        <v>246</v>
      </c>
      <c r="B242" s="23" t="s">
        <v>799</v>
      </c>
      <c r="C242" s="164">
        <v>1733152</v>
      </c>
      <c r="D242" s="164">
        <v>42005</v>
      </c>
      <c r="E242" s="164">
        <f t="shared" si="3"/>
        <v>1775157</v>
      </c>
    </row>
    <row r="243" spans="1:5">
      <c r="A243" s="162" t="s">
        <v>248</v>
      </c>
      <c r="B243" s="23" t="s">
        <v>800</v>
      </c>
      <c r="C243" s="164">
        <v>1351748</v>
      </c>
      <c r="D243" s="164">
        <v>36844</v>
      </c>
      <c r="E243" s="164">
        <f t="shared" si="3"/>
        <v>1388592</v>
      </c>
    </row>
    <row r="244" spans="1:5">
      <c r="A244" s="162" t="s">
        <v>881</v>
      </c>
      <c r="B244" s="23" t="s">
        <v>896</v>
      </c>
      <c r="C244" s="164">
        <v>60660</v>
      </c>
      <c r="D244" s="164">
        <v>35</v>
      </c>
      <c r="E244" s="164">
        <f t="shared" si="3"/>
        <v>60695</v>
      </c>
    </row>
    <row r="245" spans="1:5">
      <c r="A245" s="162" t="s">
        <v>250</v>
      </c>
      <c r="B245" s="23" t="s">
        <v>801</v>
      </c>
      <c r="C245" s="164">
        <v>6641162</v>
      </c>
      <c r="D245" s="164">
        <v>225467</v>
      </c>
      <c r="E245" s="164">
        <f t="shared" si="3"/>
        <v>6866629</v>
      </c>
    </row>
    <row r="246" spans="1:5">
      <c r="A246" s="162" t="s">
        <v>252</v>
      </c>
      <c r="B246" s="23" t="s">
        <v>802</v>
      </c>
      <c r="C246" s="164">
        <v>46104</v>
      </c>
      <c r="D246" s="164">
        <v>2037</v>
      </c>
      <c r="E246" s="164">
        <f t="shared" si="3"/>
        <v>48141</v>
      </c>
    </row>
    <row r="247" spans="1:5">
      <c r="A247" s="162" t="s">
        <v>254</v>
      </c>
      <c r="B247" s="23" t="s">
        <v>803</v>
      </c>
      <c r="C247" s="164">
        <v>1482046</v>
      </c>
      <c r="D247" s="164">
        <v>38445</v>
      </c>
      <c r="E247" s="164">
        <f t="shared" si="3"/>
        <v>1520491</v>
      </c>
    </row>
    <row r="248" spans="1:5">
      <c r="A248" s="162" t="s">
        <v>256</v>
      </c>
      <c r="B248" s="23" t="s">
        <v>804</v>
      </c>
      <c r="C248" s="164">
        <v>35346</v>
      </c>
      <c r="D248" s="164">
        <v>1061</v>
      </c>
      <c r="E248" s="164">
        <f t="shared" si="3"/>
        <v>36407</v>
      </c>
    </row>
    <row r="249" spans="1:5">
      <c r="A249" s="162" t="s">
        <v>258</v>
      </c>
      <c r="B249" s="23" t="s">
        <v>805</v>
      </c>
      <c r="C249" s="164">
        <v>282411</v>
      </c>
      <c r="D249" s="164">
        <v>10336</v>
      </c>
      <c r="E249" s="164">
        <f t="shared" si="3"/>
        <v>292747</v>
      </c>
    </row>
    <row r="250" spans="1:5">
      <c r="A250" s="162" t="s">
        <v>260</v>
      </c>
      <c r="B250" s="23" t="s">
        <v>806</v>
      </c>
      <c r="C250" s="164">
        <v>44098</v>
      </c>
      <c r="D250" s="164">
        <v>2054</v>
      </c>
      <c r="E250" s="164">
        <f t="shared" si="3"/>
        <v>46152</v>
      </c>
    </row>
    <row r="251" spans="1:5">
      <c r="A251" s="162" t="s">
        <v>262</v>
      </c>
      <c r="B251" s="23" t="s">
        <v>807</v>
      </c>
      <c r="C251" s="164">
        <v>185601</v>
      </c>
      <c r="D251" s="164">
        <v>6215</v>
      </c>
      <c r="E251" s="164">
        <f t="shared" si="3"/>
        <v>191816</v>
      </c>
    </row>
    <row r="252" spans="1:5">
      <c r="A252" s="162" t="s">
        <v>264</v>
      </c>
      <c r="B252" s="23" t="s">
        <v>808</v>
      </c>
      <c r="C252" s="164">
        <v>240816</v>
      </c>
      <c r="D252" s="164">
        <v>10321</v>
      </c>
      <c r="E252" s="164">
        <f t="shared" si="3"/>
        <v>251137</v>
      </c>
    </row>
    <row r="253" spans="1:5">
      <c r="A253" s="162" t="s">
        <v>266</v>
      </c>
      <c r="B253" s="23" t="s">
        <v>809</v>
      </c>
      <c r="C253" s="164">
        <v>882777</v>
      </c>
      <c r="D253" s="164">
        <v>22624</v>
      </c>
      <c r="E253" s="164">
        <f t="shared" si="3"/>
        <v>905401</v>
      </c>
    </row>
    <row r="254" spans="1:5">
      <c r="A254" s="162" t="s">
        <v>268</v>
      </c>
      <c r="B254" s="23" t="s">
        <v>810</v>
      </c>
      <c r="C254" s="164">
        <v>45116</v>
      </c>
      <c r="D254" s="164">
        <v>1067</v>
      </c>
      <c r="E254" s="164">
        <f t="shared" si="3"/>
        <v>46183</v>
      </c>
    </row>
    <row r="255" spans="1:5">
      <c r="A255" s="162" t="s">
        <v>566</v>
      </c>
      <c r="B255" s="23" t="s">
        <v>811</v>
      </c>
      <c r="C255" s="164">
        <v>564465</v>
      </c>
      <c r="D255" s="164">
        <v>18452</v>
      </c>
      <c r="E255" s="164">
        <f t="shared" si="3"/>
        <v>582917</v>
      </c>
    </row>
    <row r="256" spans="1:5">
      <c r="A256" s="162" t="s">
        <v>189</v>
      </c>
      <c r="B256" s="23" t="s">
        <v>812</v>
      </c>
      <c r="C256" s="164">
        <v>1210701</v>
      </c>
      <c r="D256" s="164">
        <v>41671</v>
      </c>
      <c r="E256" s="164">
        <f t="shared" si="3"/>
        <v>1252372</v>
      </c>
    </row>
    <row r="257" spans="1:5">
      <c r="A257" s="162" t="s">
        <v>191</v>
      </c>
      <c r="B257" s="23" t="s">
        <v>813</v>
      </c>
      <c r="C257" s="164">
        <v>135453</v>
      </c>
      <c r="D257" s="164">
        <v>12557</v>
      </c>
      <c r="E257" s="164">
        <f t="shared" si="3"/>
        <v>148010</v>
      </c>
    </row>
    <row r="258" spans="1:5">
      <c r="A258" s="162" t="s">
        <v>193</v>
      </c>
      <c r="B258" s="23" t="s">
        <v>814</v>
      </c>
      <c r="C258" s="164">
        <v>1073458</v>
      </c>
      <c r="D258" s="164">
        <v>25937</v>
      </c>
      <c r="E258" s="164">
        <f t="shared" si="3"/>
        <v>1099395</v>
      </c>
    </row>
    <row r="259" spans="1:5">
      <c r="A259" s="162" t="s">
        <v>278</v>
      </c>
      <c r="B259" s="23" t="s">
        <v>856</v>
      </c>
      <c r="C259" s="164">
        <v>184084</v>
      </c>
      <c r="D259" s="164">
        <v>1480</v>
      </c>
      <c r="E259" s="164">
        <f t="shared" ref="E259:E288" si="4">C259+D259</f>
        <v>185564</v>
      </c>
    </row>
    <row r="260" spans="1:5">
      <c r="A260" s="162" t="s">
        <v>280</v>
      </c>
      <c r="B260" s="23" t="s">
        <v>815</v>
      </c>
      <c r="C260" s="164">
        <v>4440855</v>
      </c>
      <c r="D260" s="164">
        <v>107358</v>
      </c>
      <c r="E260" s="164">
        <f t="shared" si="4"/>
        <v>4548213</v>
      </c>
    </row>
    <row r="261" spans="1:5">
      <c r="A261" s="162" t="s">
        <v>501</v>
      </c>
      <c r="B261" s="23" t="s">
        <v>816</v>
      </c>
      <c r="C261" s="164">
        <v>282841</v>
      </c>
      <c r="D261" s="164">
        <v>7447</v>
      </c>
      <c r="E261" s="164">
        <f t="shared" si="4"/>
        <v>290288</v>
      </c>
    </row>
    <row r="262" spans="1:5">
      <c r="A262" s="162" t="s">
        <v>837</v>
      </c>
      <c r="B262" s="23" t="s">
        <v>1049</v>
      </c>
      <c r="C262" s="164">
        <v>105731</v>
      </c>
      <c r="D262" s="164">
        <v>1025</v>
      </c>
      <c r="E262" s="164">
        <f t="shared" si="4"/>
        <v>106756</v>
      </c>
    </row>
    <row r="263" spans="1:5">
      <c r="A263" s="162" t="s">
        <v>587</v>
      </c>
      <c r="B263" s="23" t="s">
        <v>871</v>
      </c>
      <c r="C263" s="164">
        <v>49586</v>
      </c>
      <c r="D263" s="164">
        <v>1026</v>
      </c>
      <c r="E263" s="164">
        <f t="shared" si="4"/>
        <v>50612</v>
      </c>
    </row>
    <row r="264" spans="1:5">
      <c r="A264" s="162" t="s">
        <v>505</v>
      </c>
      <c r="B264" s="23" t="s">
        <v>817</v>
      </c>
      <c r="C264" s="164">
        <v>474861</v>
      </c>
      <c r="D264" s="164">
        <v>16401</v>
      </c>
      <c r="E264" s="164">
        <f t="shared" si="4"/>
        <v>491262</v>
      </c>
    </row>
    <row r="265" spans="1:5">
      <c r="A265" s="162" t="s">
        <v>507</v>
      </c>
      <c r="B265" s="23" t="s">
        <v>818</v>
      </c>
      <c r="C265" s="164">
        <v>62971</v>
      </c>
      <c r="D265" s="164">
        <v>594</v>
      </c>
      <c r="E265" s="164">
        <f t="shared" si="4"/>
        <v>63565</v>
      </c>
    </row>
    <row r="266" spans="1:5">
      <c r="A266" s="162" t="s">
        <v>509</v>
      </c>
      <c r="B266" s="23" t="s">
        <v>819</v>
      </c>
      <c r="C266" s="164">
        <v>1149441</v>
      </c>
      <c r="D266" s="164">
        <v>27352</v>
      </c>
      <c r="E266" s="164">
        <f t="shared" si="4"/>
        <v>1176793</v>
      </c>
    </row>
    <row r="267" spans="1:5">
      <c r="A267" s="162" t="s">
        <v>511</v>
      </c>
      <c r="B267" s="23" t="s">
        <v>820</v>
      </c>
      <c r="C267" s="164">
        <v>710466</v>
      </c>
      <c r="D267" s="164">
        <v>36392</v>
      </c>
      <c r="E267" s="164">
        <f t="shared" si="4"/>
        <v>746858</v>
      </c>
    </row>
    <row r="268" spans="1:5">
      <c r="A268" s="162" t="s">
        <v>32</v>
      </c>
      <c r="B268" s="23" t="s">
        <v>821</v>
      </c>
      <c r="C268" s="164">
        <v>198641</v>
      </c>
      <c r="D268" s="164">
        <v>11719</v>
      </c>
      <c r="E268" s="164">
        <f t="shared" si="4"/>
        <v>210360</v>
      </c>
    </row>
    <row r="269" spans="1:5">
      <c r="A269" s="162" t="s">
        <v>34</v>
      </c>
      <c r="B269" s="23" t="s">
        <v>822</v>
      </c>
      <c r="C269" s="164">
        <v>573397</v>
      </c>
      <c r="D269" s="164">
        <v>28186</v>
      </c>
      <c r="E269" s="164">
        <f t="shared" si="4"/>
        <v>601583</v>
      </c>
    </row>
    <row r="270" spans="1:5">
      <c r="A270" s="162" t="s">
        <v>36</v>
      </c>
      <c r="B270" s="23" t="s">
        <v>823</v>
      </c>
      <c r="C270" s="164">
        <v>16872</v>
      </c>
      <c r="D270" s="164">
        <v>1010</v>
      </c>
      <c r="E270" s="164">
        <f t="shared" si="4"/>
        <v>17882</v>
      </c>
    </row>
    <row r="271" spans="1:5">
      <c r="A271" s="162" t="s">
        <v>522</v>
      </c>
      <c r="B271" s="23" t="s">
        <v>824</v>
      </c>
      <c r="C271" s="164">
        <v>96343</v>
      </c>
      <c r="D271" s="164">
        <v>1183</v>
      </c>
      <c r="E271" s="164">
        <f t="shared" si="4"/>
        <v>97526</v>
      </c>
    </row>
    <row r="272" spans="1:5">
      <c r="A272" s="162" t="s">
        <v>485</v>
      </c>
      <c r="B272" s="23" t="s">
        <v>825</v>
      </c>
      <c r="C272" s="164">
        <v>1439223</v>
      </c>
      <c r="D272" s="164">
        <v>55239</v>
      </c>
      <c r="E272" s="164">
        <f t="shared" si="4"/>
        <v>1494462</v>
      </c>
    </row>
    <row r="273" spans="1:5">
      <c r="A273" s="162" t="s">
        <v>298</v>
      </c>
      <c r="B273" s="23" t="s">
        <v>865</v>
      </c>
      <c r="C273" s="164">
        <v>716864</v>
      </c>
      <c r="D273" s="164">
        <v>29942</v>
      </c>
      <c r="E273" s="164">
        <f t="shared" si="4"/>
        <v>746806</v>
      </c>
    </row>
    <row r="274" spans="1:5">
      <c r="A274" s="162" t="s">
        <v>299</v>
      </c>
      <c r="B274" s="23" t="s">
        <v>866</v>
      </c>
      <c r="C274" s="164">
        <v>1042259</v>
      </c>
      <c r="D274" s="164">
        <v>31626</v>
      </c>
      <c r="E274" s="164">
        <f t="shared" si="4"/>
        <v>1073885</v>
      </c>
    </row>
    <row r="275" spans="1:5">
      <c r="A275" s="165" t="s">
        <v>1311</v>
      </c>
      <c r="B275" s="23" t="s">
        <v>1312</v>
      </c>
      <c r="C275" s="164">
        <v>6003</v>
      </c>
      <c r="D275" s="164">
        <v>0</v>
      </c>
      <c r="E275" s="164">
        <f t="shared" si="4"/>
        <v>6003</v>
      </c>
    </row>
    <row r="276" spans="1:5">
      <c r="A276" s="162" t="s">
        <v>300</v>
      </c>
      <c r="B276" s="23" t="s">
        <v>826</v>
      </c>
      <c r="C276" s="164">
        <v>121016</v>
      </c>
      <c r="D276" s="164">
        <v>6052</v>
      </c>
      <c r="E276" s="164">
        <f t="shared" si="4"/>
        <v>127068</v>
      </c>
    </row>
    <row r="277" spans="1:5">
      <c r="A277" s="162" t="s">
        <v>302</v>
      </c>
      <c r="B277" s="23" t="s">
        <v>827</v>
      </c>
      <c r="C277" s="164">
        <v>762370</v>
      </c>
      <c r="D277" s="164">
        <v>20628</v>
      </c>
      <c r="E277" s="164">
        <f t="shared" si="4"/>
        <v>782998</v>
      </c>
    </row>
    <row r="278" spans="1:5">
      <c r="A278" s="165" t="s">
        <v>1161</v>
      </c>
      <c r="B278" s="23" t="s">
        <v>1575</v>
      </c>
      <c r="C278" s="164">
        <v>17183</v>
      </c>
      <c r="D278" s="164">
        <v>0</v>
      </c>
      <c r="E278" s="164">
        <f t="shared" si="4"/>
        <v>17183</v>
      </c>
    </row>
    <row r="279" spans="1:5">
      <c r="A279" s="162" t="s">
        <v>306</v>
      </c>
      <c r="B279" s="23" t="s">
        <v>828</v>
      </c>
      <c r="C279" s="164">
        <v>48875</v>
      </c>
      <c r="D279" s="164">
        <v>575</v>
      </c>
      <c r="E279" s="164">
        <f t="shared" si="4"/>
        <v>49450</v>
      </c>
    </row>
    <row r="280" spans="1:5">
      <c r="A280" s="162" t="s">
        <v>308</v>
      </c>
      <c r="B280" s="23" t="s">
        <v>829</v>
      </c>
      <c r="C280" s="164">
        <v>77067</v>
      </c>
      <c r="D280" s="164">
        <v>2114</v>
      </c>
      <c r="E280" s="164">
        <f t="shared" si="4"/>
        <v>79181</v>
      </c>
    </row>
    <row r="281" spans="1:5">
      <c r="A281" s="165" t="s">
        <v>958</v>
      </c>
      <c r="B281" s="23" t="s">
        <v>1576</v>
      </c>
      <c r="C281" s="164">
        <v>14212</v>
      </c>
      <c r="D281" s="164">
        <v>19</v>
      </c>
      <c r="E281" s="164">
        <f t="shared" si="4"/>
        <v>14231</v>
      </c>
    </row>
    <row r="282" spans="1:5">
      <c r="A282" s="162" t="s">
        <v>310</v>
      </c>
      <c r="B282" s="23" t="s">
        <v>830</v>
      </c>
      <c r="C282" s="164">
        <v>27218</v>
      </c>
      <c r="D282" s="164">
        <v>1044</v>
      </c>
      <c r="E282" s="164">
        <f t="shared" si="4"/>
        <v>28262</v>
      </c>
    </row>
    <row r="283" spans="1:5">
      <c r="A283" s="162" t="s">
        <v>312</v>
      </c>
      <c r="B283" s="23" t="s">
        <v>831</v>
      </c>
      <c r="C283" s="164">
        <v>166400</v>
      </c>
      <c r="D283" s="164">
        <v>9654</v>
      </c>
      <c r="E283" s="164">
        <f t="shared" si="4"/>
        <v>176054</v>
      </c>
    </row>
    <row r="284" spans="1:5">
      <c r="A284" s="162" t="s">
        <v>173</v>
      </c>
      <c r="B284" s="23" t="s">
        <v>832</v>
      </c>
      <c r="C284" s="164">
        <v>31453</v>
      </c>
      <c r="D284" s="164">
        <v>3013</v>
      </c>
      <c r="E284" s="164">
        <f t="shared" si="4"/>
        <v>34466</v>
      </c>
    </row>
    <row r="285" spans="1:5">
      <c r="A285" s="162" t="s">
        <v>177</v>
      </c>
      <c r="B285" s="23" t="s">
        <v>833</v>
      </c>
      <c r="C285" s="164">
        <v>417902</v>
      </c>
      <c r="D285" s="164">
        <v>14200</v>
      </c>
      <c r="E285" s="164">
        <f t="shared" si="4"/>
        <v>432102</v>
      </c>
    </row>
    <row r="286" spans="1:5">
      <c r="A286" s="162" t="s">
        <v>179</v>
      </c>
      <c r="B286" s="23" t="s">
        <v>834</v>
      </c>
      <c r="C286" s="164">
        <v>3322885</v>
      </c>
      <c r="D286" s="164">
        <v>110904</v>
      </c>
      <c r="E286" s="164">
        <f t="shared" si="4"/>
        <v>3433789</v>
      </c>
    </row>
    <row r="287" spans="1:5">
      <c r="A287" s="162" t="s">
        <v>181</v>
      </c>
      <c r="B287" s="23" t="s">
        <v>835</v>
      </c>
      <c r="C287" s="164">
        <v>1022221</v>
      </c>
      <c r="D287" s="164">
        <v>25250</v>
      </c>
      <c r="E287" s="164">
        <f t="shared" si="4"/>
        <v>1047471</v>
      </c>
    </row>
    <row r="288" spans="1:5">
      <c r="A288" s="162" t="s">
        <v>407</v>
      </c>
      <c r="B288" s="23" t="s">
        <v>836</v>
      </c>
      <c r="C288" s="166">
        <v>232140</v>
      </c>
      <c r="D288" s="166">
        <v>6420</v>
      </c>
      <c r="E288" s="164">
        <f t="shared" si="4"/>
        <v>238560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C6903-3904-4134-B6CD-2BB965138B56}">
  <sheetPr>
    <tabColor rgb="FF00B050"/>
  </sheetPr>
  <dimension ref="A1:E283"/>
  <sheetViews>
    <sheetView topLeftCell="A258" workbookViewId="0">
      <selection activeCell="B3" sqref="B3:C3"/>
    </sheetView>
  </sheetViews>
  <sheetFormatPr defaultRowHeight="12.75"/>
  <cols>
    <col min="1" max="1" width="8.5703125" bestFit="1" customWidth="1"/>
    <col min="2" max="2" width="62.28515625" bestFit="1" customWidth="1"/>
    <col min="3" max="4" width="12.5703125" bestFit="1" customWidth="1"/>
  </cols>
  <sheetData>
    <row r="1" spans="1:5">
      <c r="A1" s="292" t="s">
        <v>1359</v>
      </c>
      <c r="B1" s="292"/>
      <c r="C1" s="292"/>
      <c r="D1" s="292"/>
    </row>
    <row r="2" spans="1:5" ht="13.5" thickBot="1">
      <c r="A2" s="293" t="s">
        <v>1601</v>
      </c>
      <c r="B2" s="293"/>
      <c r="C2" s="293"/>
      <c r="D2" s="293"/>
    </row>
    <row r="3" spans="1:5">
      <c r="A3" s="4" t="s">
        <v>1602</v>
      </c>
      <c r="B3" s="4" t="s">
        <v>1603</v>
      </c>
      <c r="C3" s="177" t="s">
        <v>977</v>
      </c>
      <c r="D3" s="177" t="s">
        <v>978</v>
      </c>
    </row>
    <row r="4" spans="1:5">
      <c r="A4" s="23" t="s">
        <v>51</v>
      </c>
      <c r="B4" s="23" t="s">
        <v>1604</v>
      </c>
      <c r="C4" s="178">
        <v>0</v>
      </c>
      <c r="D4" s="178">
        <v>0</v>
      </c>
      <c r="E4" s="181">
        <f>C4+D4</f>
        <v>0</v>
      </c>
    </row>
    <row r="5" spans="1:5">
      <c r="A5" s="23" t="s">
        <v>53</v>
      </c>
      <c r="B5" s="23" t="s">
        <v>1489</v>
      </c>
      <c r="C5" s="178">
        <v>0</v>
      </c>
      <c r="D5" s="178">
        <v>0</v>
      </c>
      <c r="E5" s="181">
        <f t="shared" ref="E5:E68" si="0">C5+D5</f>
        <v>0</v>
      </c>
    </row>
    <row r="6" spans="1:5">
      <c r="A6" s="179" t="s">
        <v>55</v>
      </c>
      <c r="B6" s="23" t="s">
        <v>1605</v>
      </c>
      <c r="C6" s="178">
        <v>0</v>
      </c>
      <c r="D6" s="178">
        <v>0</v>
      </c>
      <c r="E6" s="181">
        <f t="shared" si="0"/>
        <v>0</v>
      </c>
    </row>
    <row r="7" spans="1:5">
      <c r="A7" s="23" t="s">
        <v>182</v>
      </c>
      <c r="B7" s="23" t="s">
        <v>1360</v>
      </c>
      <c r="C7" s="178">
        <v>0</v>
      </c>
      <c r="D7" s="178">
        <v>0</v>
      </c>
      <c r="E7" s="181">
        <f t="shared" si="0"/>
        <v>0</v>
      </c>
    </row>
    <row r="8" spans="1:5">
      <c r="A8" s="23" t="s">
        <v>471</v>
      </c>
      <c r="B8" s="23" t="s">
        <v>1361</v>
      </c>
      <c r="C8" s="178">
        <v>59686</v>
      </c>
      <c r="D8" s="178">
        <v>0</v>
      </c>
      <c r="E8" s="181">
        <f t="shared" si="0"/>
        <v>59686</v>
      </c>
    </row>
    <row r="9" spans="1:5">
      <c r="A9" s="23" t="s">
        <v>473</v>
      </c>
      <c r="B9" s="23" t="s">
        <v>1606</v>
      </c>
      <c r="C9" s="178">
        <v>0</v>
      </c>
      <c r="D9" s="178">
        <v>0</v>
      </c>
      <c r="E9" s="181">
        <f t="shared" si="0"/>
        <v>0</v>
      </c>
    </row>
    <row r="10" spans="1:5">
      <c r="A10" s="23" t="s">
        <v>474</v>
      </c>
      <c r="B10" s="23" t="s">
        <v>1362</v>
      </c>
      <c r="C10" s="178">
        <v>294150</v>
      </c>
      <c r="D10" s="178">
        <v>5602</v>
      </c>
      <c r="E10" s="181">
        <f t="shared" si="0"/>
        <v>299752</v>
      </c>
    </row>
    <row r="11" spans="1:5">
      <c r="A11" s="23" t="s">
        <v>476</v>
      </c>
      <c r="B11" s="23" t="s">
        <v>1607</v>
      </c>
      <c r="C11" s="178">
        <v>0</v>
      </c>
      <c r="D11" s="178">
        <v>0</v>
      </c>
      <c r="E11" s="181">
        <f t="shared" si="0"/>
        <v>0</v>
      </c>
    </row>
    <row r="12" spans="1:5">
      <c r="A12" s="23" t="s">
        <v>477</v>
      </c>
      <c r="B12" s="23" t="s">
        <v>1608</v>
      </c>
      <c r="C12" s="178">
        <v>0</v>
      </c>
      <c r="D12" s="178">
        <v>0</v>
      </c>
      <c r="E12" s="181">
        <f t="shared" si="0"/>
        <v>0</v>
      </c>
    </row>
    <row r="13" spans="1:5">
      <c r="A13" s="23" t="s">
        <v>195</v>
      </c>
      <c r="B13" s="23" t="s">
        <v>1363</v>
      </c>
      <c r="C13" s="178">
        <v>417960</v>
      </c>
      <c r="D13" s="178">
        <v>0</v>
      </c>
      <c r="E13" s="181">
        <f t="shared" si="0"/>
        <v>417960</v>
      </c>
    </row>
    <row r="14" spans="1:5">
      <c r="A14" s="23" t="s">
        <v>197</v>
      </c>
      <c r="B14" s="23" t="s">
        <v>1364</v>
      </c>
      <c r="C14" s="178">
        <v>0</v>
      </c>
      <c r="D14" s="178">
        <v>0</v>
      </c>
      <c r="E14" s="181">
        <f t="shared" si="0"/>
        <v>0</v>
      </c>
    </row>
    <row r="15" spans="1:5">
      <c r="A15" s="23" t="s">
        <v>199</v>
      </c>
      <c r="B15" s="23" t="s">
        <v>1365</v>
      </c>
      <c r="C15" s="178">
        <v>0</v>
      </c>
      <c r="D15" s="178">
        <v>0</v>
      </c>
      <c r="E15" s="181">
        <f t="shared" si="0"/>
        <v>0</v>
      </c>
    </row>
    <row r="16" spans="1:5">
      <c r="A16" s="23" t="s">
        <v>201</v>
      </c>
      <c r="B16" s="23" t="s">
        <v>1464</v>
      </c>
      <c r="C16" s="178">
        <v>0</v>
      </c>
      <c r="D16" s="178">
        <v>15813</v>
      </c>
      <c r="E16" s="181">
        <f t="shared" si="0"/>
        <v>15813</v>
      </c>
    </row>
    <row r="17" spans="1:5">
      <c r="A17" s="23" t="s">
        <v>14</v>
      </c>
      <c r="B17" s="23" t="s">
        <v>1609</v>
      </c>
      <c r="C17" s="178">
        <v>2829</v>
      </c>
      <c r="D17" s="178">
        <v>0</v>
      </c>
      <c r="E17" s="181">
        <f t="shared" si="0"/>
        <v>2829</v>
      </c>
    </row>
    <row r="18" spans="1:5">
      <c r="A18" s="23" t="s">
        <v>16</v>
      </c>
      <c r="B18" s="23" t="s">
        <v>1366</v>
      </c>
      <c r="C18" s="178">
        <v>24647</v>
      </c>
      <c r="D18" s="178">
        <v>0</v>
      </c>
      <c r="E18" s="181">
        <f t="shared" si="0"/>
        <v>24647</v>
      </c>
    </row>
    <row r="19" spans="1:5">
      <c r="A19" s="23" t="s">
        <v>524</v>
      </c>
      <c r="B19" s="23" t="s">
        <v>1367</v>
      </c>
      <c r="C19" s="178">
        <v>0</v>
      </c>
      <c r="D19" s="178">
        <v>11288</v>
      </c>
      <c r="E19" s="181">
        <f t="shared" si="0"/>
        <v>11288</v>
      </c>
    </row>
    <row r="20" spans="1:5">
      <c r="A20" s="23" t="s">
        <v>526</v>
      </c>
      <c r="B20" s="23" t="s">
        <v>1368</v>
      </c>
      <c r="C20" s="178">
        <v>14975</v>
      </c>
      <c r="D20" s="178">
        <v>499</v>
      </c>
      <c r="E20" s="181">
        <f t="shared" si="0"/>
        <v>15474</v>
      </c>
    </row>
    <row r="21" spans="1:5">
      <c r="A21" s="23" t="s">
        <v>528</v>
      </c>
      <c r="B21" s="23" t="s">
        <v>1610</v>
      </c>
      <c r="C21" s="178">
        <v>0</v>
      </c>
      <c r="D21" s="178">
        <v>0</v>
      </c>
      <c r="E21" s="181">
        <f t="shared" si="0"/>
        <v>0</v>
      </c>
    </row>
    <row r="22" spans="1:5">
      <c r="A22" s="23" t="s">
        <v>530</v>
      </c>
      <c r="B22" s="23" t="s">
        <v>1611</v>
      </c>
      <c r="C22" s="178">
        <v>2217</v>
      </c>
      <c r="D22" s="178">
        <v>0</v>
      </c>
      <c r="E22" s="181">
        <f t="shared" si="0"/>
        <v>2217</v>
      </c>
    </row>
    <row r="23" spans="1:5">
      <c r="A23" s="23" t="s">
        <v>532</v>
      </c>
      <c r="B23" s="23" t="s">
        <v>1369</v>
      </c>
      <c r="C23" s="178">
        <v>12037</v>
      </c>
      <c r="D23" s="178">
        <v>4917</v>
      </c>
      <c r="E23" s="181">
        <f t="shared" si="0"/>
        <v>16954</v>
      </c>
    </row>
    <row r="24" spans="1:5">
      <c r="A24" s="23" t="s">
        <v>534</v>
      </c>
      <c r="B24" s="23" t="s">
        <v>1612</v>
      </c>
      <c r="C24" s="178">
        <v>3621</v>
      </c>
      <c r="D24" s="178">
        <v>0</v>
      </c>
      <c r="E24" s="181">
        <f t="shared" si="0"/>
        <v>3621</v>
      </c>
    </row>
    <row r="25" spans="1:5">
      <c r="A25" s="23" t="s">
        <v>536</v>
      </c>
      <c r="B25" s="23" t="s">
        <v>1613</v>
      </c>
      <c r="C25" s="178">
        <v>0</v>
      </c>
      <c r="D25" s="178">
        <v>0</v>
      </c>
      <c r="E25" s="181">
        <f t="shared" si="0"/>
        <v>0</v>
      </c>
    </row>
    <row r="26" spans="1:5">
      <c r="A26" s="23" t="s">
        <v>538</v>
      </c>
      <c r="B26" s="23" t="s">
        <v>1614</v>
      </c>
      <c r="C26" s="178">
        <v>0</v>
      </c>
      <c r="D26" s="178">
        <v>0</v>
      </c>
      <c r="E26" s="181">
        <f t="shared" si="0"/>
        <v>0</v>
      </c>
    </row>
    <row r="27" spans="1:5">
      <c r="A27" s="23" t="s">
        <v>151</v>
      </c>
      <c r="B27" s="23" t="s">
        <v>1615</v>
      </c>
      <c r="C27" s="178">
        <v>8912</v>
      </c>
      <c r="D27" s="178">
        <v>0</v>
      </c>
      <c r="E27" s="181">
        <f t="shared" si="0"/>
        <v>8912</v>
      </c>
    </row>
    <row r="28" spans="1:5">
      <c r="A28" s="23" t="s">
        <v>153</v>
      </c>
      <c r="B28" s="23" t="s">
        <v>1616</v>
      </c>
      <c r="C28" s="178">
        <v>2153</v>
      </c>
      <c r="D28" s="178">
        <v>0</v>
      </c>
      <c r="E28" s="181">
        <f t="shared" si="0"/>
        <v>2153</v>
      </c>
    </row>
    <row r="29" spans="1:5">
      <c r="A29" s="23" t="s">
        <v>155</v>
      </c>
      <c r="B29" s="23" t="s">
        <v>1617</v>
      </c>
      <c r="C29" s="178">
        <v>0</v>
      </c>
      <c r="D29" s="178">
        <v>0</v>
      </c>
      <c r="E29" s="181">
        <f t="shared" si="0"/>
        <v>0</v>
      </c>
    </row>
    <row r="30" spans="1:5">
      <c r="A30" s="23" t="s">
        <v>1050</v>
      </c>
      <c r="B30" s="23" t="s">
        <v>1618</v>
      </c>
      <c r="C30" s="178">
        <v>41676</v>
      </c>
      <c r="D30" s="178">
        <v>0</v>
      </c>
      <c r="E30" s="181">
        <f t="shared" si="0"/>
        <v>41676</v>
      </c>
    </row>
    <row r="31" spans="1:5">
      <c r="A31" s="23" t="s">
        <v>281</v>
      </c>
      <c r="B31" s="23" t="s">
        <v>1619</v>
      </c>
      <c r="C31" s="178">
        <v>0</v>
      </c>
      <c r="D31" s="178">
        <v>0</v>
      </c>
      <c r="E31" s="181">
        <f t="shared" si="0"/>
        <v>0</v>
      </c>
    </row>
    <row r="32" spans="1:5">
      <c r="A32" s="23" t="s">
        <v>283</v>
      </c>
      <c r="B32" s="23" t="s">
        <v>1370</v>
      </c>
      <c r="C32" s="178">
        <v>221280</v>
      </c>
      <c r="D32" s="178">
        <v>0</v>
      </c>
      <c r="E32" s="181">
        <f t="shared" si="0"/>
        <v>221280</v>
      </c>
    </row>
    <row r="33" spans="1:5">
      <c r="A33" s="23" t="s">
        <v>285</v>
      </c>
      <c r="B33" s="23" t="s">
        <v>1371</v>
      </c>
      <c r="C33" s="178">
        <v>0</v>
      </c>
      <c r="D33" s="178">
        <v>1125</v>
      </c>
      <c r="E33" s="181">
        <f t="shared" si="0"/>
        <v>1125</v>
      </c>
    </row>
    <row r="34" spans="1:5">
      <c r="A34" s="23" t="s">
        <v>287</v>
      </c>
      <c r="B34" s="23" t="s">
        <v>1620</v>
      </c>
      <c r="C34" s="178">
        <v>0</v>
      </c>
      <c r="D34" s="178">
        <v>0</v>
      </c>
      <c r="E34" s="181">
        <f t="shared" si="0"/>
        <v>0</v>
      </c>
    </row>
    <row r="35" spans="1:5">
      <c r="A35" s="23" t="s">
        <v>289</v>
      </c>
      <c r="B35" s="23" t="s">
        <v>1372</v>
      </c>
      <c r="C35" s="178">
        <v>0</v>
      </c>
      <c r="D35" s="178">
        <v>0</v>
      </c>
      <c r="E35" s="181">
        <f t="shared" si="0"/>
        <v>0</v>
      </c>
    </row>
    <row r="36" spans="1:5">
      <c r="A36" s="23" t="s">
        <v>291</v>
      </c>
      <c r="B36" s="23" t="s">
        <v>1621</v>
      </c>
      <c r="C36" s="178">
        <v>0</v>
      </c>
      <c r="D36" s="178">
        <v>0</v>
      </c>
      <c r="E36" s="181">
        <f t="shared" si="0"/>
        <v>0</v>
      </c>
    </row>
    <row r="37" spans="1:5">
      <c r="A37" s="23" t="s">
        <v>19</v>
      </c>
      <c r="B37" s="23" t="s">
        <v>1622</v>
      </c>
      <c r="C37" s="178">
        <v>0</v>
      </c>
      <c r="D37" s="178">
        <v>0</v>
      </c>
      <c r="E37" s="181">
        <f t="shared" si="0"/>
        <v>0</v>
      </c>
    </row>
    <row r="38" spans="1:5">
      <c r="A38" s="23" t="s">
        <v>21</v>
      </c>
      <c r="B38" s="23" t="s">
        <v>1373</v>
      </c>
      <c r="C38" s="178">
        <v>57887</v>
      </c>
      <c r="D38" s="178">
        <v>0</v>
      </c>
      <c r="E38" s="181">
        <f t="shared" si="0"/>
        <v>57887</v>
      </c>
    </row>
    <row r="39" spans="1:5">
      <c r="A39" s="23" t="s">
        <v>23</v>
      </c>
      <c r="B39" s="23" t="s">
        <v>1490</v>
      </c>
      <c r="C39" s="178">
        <v>0</v>
      </c>
      <c r="D39" s="178">
        <v>787</v>
      </c>
      <c r="E39" s="181">
        <f t="shared" si="0"/>
        <v>787</v>
      </c>
    </row>
    <row r="40" spans="1:5">
      <c r="A40" s="23" t="s">
        <v>25</v>
      </c>
      <c r="B40" s="23" t="s">
        <v>1374</v>
      </c>
      <c r="C40" s="178">
        <v>18045</v>
      </c>
      <c r="D40" s="178">
        <v>0</v>
      </c>
      <c r="E40" s="181">
        <f t="shared" si="0"/>
        <v>18045</v>
      </c>
    </row>
    <row r="41" spans="1:5">
      <c r="A41" s="23" t="s">
        <v>27</v>
      </c>
      <c r="B41" s="23" t="s">
        <v>1623</v>
      </c>
      <c r="C41" s="178">
        <v>0</v>
      </c>
      <c r="D41" s="178">
        <v>0</v>
      </c>
      <c r="E41" s="181">
        <f t="shared" si="0"/>
        <v>0</v>
      </c>
    </row>
    <row r="42" spans="1:5">
      <c r="A42" s="23" t="s">
        <v>29</v>
      </c>
      <c r="B42" s="23" t="s">
        <v>1624</v>
      </c>
      <c r="C42" s="178">
        <v>15756</v>
      </c>
      <c r="D42" s="178">
        <v>0</v>
      </c>
      <c r="E42" s="181">
        <f t="shared" si="0"/>
        <v>15756</v>
      </c>
    </row>
    <row r="43" spans="1:5">
      <c r="A43" s="23" t="s">
        <v>148</v>
      </c>
      <c r="B43" s="23" t="s">
        <v>1625</v>
      </c>
      <c r="C43" s="178">
        <v>0</v>
      </c>
      <c r="D43" s="178">
        <v>0</v>
      </c>
      <c r="E43" s="181">
        <f t="shared" si="0"/>
        <v>0</v>
      </c>
    </row>
    <row r="44" spans="1:5">
      <c r="A44" s="23" t="s">
        <v>150</v>
      </c>
      <c r="B44" s="23" t="s">
        <v>1626</v>
      </c>
      <c r="C44" s="178">
        <v>0</v>
      </c>
      <c r="D44" s="178">
        <v>0</v>
      </c>
      <c r="E44" s="181">
        <f t="shared" si="0"/>
        <v>0</v>
      </c>
    </row>
    <row r="45" spans="1:5">
      <c r="A45" s="23" t="s">
        <v>133</v>
      </c>
      <c r="B45" s="23" t="s">
        <v>1375</v>
      </c>
      <c r="C45" s="178">
        <v>64874</v>
      </c>
      <c r="D45" s="178">
        <v>1737</v>
      </c>
      <c r="E45" s="181">
        <f t="shared" si="0"/>
        <v>66611</v>
      </c>
    </row>
    <row r="46" spans="1:5">
      <c r="A46" s="23" t="s">
        <v>134</v>
      </c>
      <c r="B46" s="23" t="s">
        <v>1627</v>
      </c>
      <c r="C46" s="178">
        <v>0</v>
      </c>
      <c r="D46" s="178">
        <v>0</v>
      </c>
      <c r="E46" s="181">
        <f t="shared" si="0"/>
        <v>0</v>
      </c>
    </row>
    <row r="47" spans="1:5">
      <c r="A47" s="23" t="s">
        <v>136</v>
      </c>
      <c r="B47" s="23" t="s">
        <v>1491</v>
      </c>
      <c r="C47" s="178">
        <v>10142</v>
      </c>
      <c r="D47" s="178">
        <v>3946</v>
      </c>
      <c r="E47" s="181">
        <f t="shared" si="0"/>
        <v>14088</v>
      </c>
    </row>
    <row r="48" spans="1:5">
      <c r="A48" s="23" t="s">
        <v>138</v>
      </c>
      <c r="B48" s="23" t="s">
        <v>1628</v>
      </c>
      <c r="C48" s="178">
        <v>0</v>
      </c>
      <c r="D48" s="178">
        <v>0</v>
      </c>
      <c r="E48" s="181">
        <f t="shared" si="0"/>
        <v>0</v>
      </c>
    </row>
    <row r="49" spans="1:5">
      <c r="A49" s="23" t="s">
        <v>140</v>
      </c>
      <c r="B49" s="23" t="s">
        <v>1376</v>
      </c>
      <c r="C49" s="178">
        <v>0</v>
      </c>
      <c r="D49" s="178">
        <v>0</v>
      </c>
      <c r="E49" s="181">
        <f t="shared" si="0"/>
        <v>0</v>
      </c>
    </row>
    <row r="50" spans="1:5">
      <c r="A50" s="23" t="s">
        <v>142</v>
      </c>
      <c r="B50" s="23" t="s">
        <v>1629</v>
      </c>
      <c r="C50" s="178">
        <v>0</v>
      </c>
      <c r="D50" s="178">
        <v>0</v>
      </c>
      <c r="E50" s="181">
        <f t="shared" si="0"/>
        <v>0</v>
      </c>
    </row>
    <row r="51" spans="1:5">
      <c r="A51" s="23" t="s">
        <v>143</v>
      </c>
      <c r="B51" s="23" t="s">
        <v>1630</v>
      </c>
      <c r="C51" s="178">
        <v>0</v>
      </c>
      <c r="D51" s="178">
        <v>0</v>
      </c>
      <c r="E51" s="181">
        <f t="shared" si="0"/>
        <v>0</v>
      </c>
    </row>
    <row r="52" spans="1:5">
      <c r="A52" s="23" t="s">
        <v>12</v>
      </c>
      <c r="B52" s="23" t="s">
        <v>1465</v>
      </c>
      <c r="C52" s="178">
        <v>165</v>
      </c>
      <c r="D52" s="178">
        <v>1104</v>
      </c>
      <c r="E52" s="181">
        <f t="shared" si="0"/>
        <v>1269</v>
      </c>
    </row>
    <row r="53" spans="1:5">
      <c r="A53" s="23" t="s">
        <v>145</v>
      </c>
      <c r="B53" s="23" t="s">
        <v>1466</v>
      </c>
      <c r="C53" s="178">
        <v>0</v>
      </c>
      <c r="D53" s="178">
        <v>96</v>
      </c>
      <c r="E53" s="181">
        <f t="shared" si="0"/>
        <v>96</v>
      </c>
    </row>
    <row r="54" spans="1:5">
      <c r="A54" s="23" t="s">
        <v>402</v>
      </c>
      <c r="B54" s="23" t="s">
        <v>1631</v>
      </c>
      <c r="C54" s="178">
        <v>0</v>
      </c>
      <c r="D54" s="178">
        <v>0</v>
      </c>
      <c r="E54" s="181">
        <f t="shared" si="0"/>
        <v>0</v>
      </c>
    </row>
    <row r="55" spans="1:5">
      <c r="A55" s="23" t="s">
        <v>404</v>
      </c>
      <c r="B55" s="23" t="s">
        <v>1377</v>
      </c>
      <c r="C55" s="178">
        <v>0</v>
      </c>
      <c r="D55" s="178">
        <v>0</v>
      </c>
      <c r="E55" s="181">
        <f t="shared" si="0"/>
        <v>0</v>
      </c>
    </row>
    <row r="56" spans="1:5">
      <c r="A56" s="23" t="s">
        <v>406</v>
      </c>
      <c r="B56" s="23" t="s">
        <v>1378</v>
      </c>
      <c r="C56" s="178">
        <v>4417</v>
      </c>
      <c r="D56" s="178">
        <v>502</v>
      </c>
      <c r="E56" s="181">
        <f t="shared" si="0"/>
        <v>4919</v>
      </c>
    </row>
    <row r="57" spans="1:5">
      <c r="A57" s="23" t="s">
        <v>224</v>
      </c>
      <c r="B57" s="23" t="s">
        <v>1379</v>
      </c>
      <c r="C57" s="178">
        <v>0</v>
      </c>
      <c r="D57" s="178">
        <v>2453</v>
      </c>
      <c r="E57" s="181">
        <f t="shared" si="0"/>
        <v>2453</v>
      </c>
    </row>
    <row r="58" spans="1:5">
      <c r="A58" s="23" t="s">
        <v>226</v>
      </c>
      <c r="B58" s="23" t="s">
        <v>1632</v>
      </c>
      <c r="C58" s="178">
        <v>0</v>
      </c>
      <c r="D58" s="178">
        <v>0</v>
      </c>
      <c r="E58" s="181">
        <f t="shared" si="0"/>
        <v>0</v>
      </c>
    </row>
    <row r="59" spans="1:5">
      <c r="A59" s="23" t="s">
        <v>355</v>
      </c>
      <c r="B59" s="23" t="s">
        <v>1380</v>
      </c>
      <c r="C59" s="178">
        <v>11908</v>
      </c>
      <c r="D59" s="178">
        <v>0</v>
      </c>
      <c r="E59" s="181">
        <f t="shared" si="0"/>
        <v>11908</v>
      </c>
    </row>
    <row r="60" spans="1:5">
      <c r="A60" s="23" t="s">
        <v>357</v>
      </c>
      <c r="B60" s="23" t="s">
        <v>1633</v>
      </c>
      <c r="C60" s="178">
        <v>0</v>
      </c>
      <c r="D60" s="178">
        <v>0</v>
      </c>
      <c r="E60" s="181">
        <f t="shared" si="0"/>
        <v>0</v>
      </c>
    </row>
    <row r="61" spans="1:5">
      <c r="A61" s="23" t="s">
        <v>230</v>
      </c>
      <c r="B61" s="23" t="s">
        <v>1634</v>
      </c>
      <c r="C61" s="178">
        <v>17383</v>
      </c>
      <c r="D61" s="178">
        <v>0</v>
      </c>
      <c r="E61" s="181">
        <f t="shared" si="0"/>
        <v>17383</v>
      </c>
    </row>
    <row r="62" spans="1:5">
      <c r="A62" s="23" t="s">
        <v>231</v>
      </c>
      <c r="B62" s="23" t="s">
        <v>1381</v>
      </c>
      <c r="C62" s="178">
        <v>32081</v>
      </c>
      <c r="D62" s="178">
        <v>0</v>
      </c>
      <c r="E62" s="181">
        <f t="shared" si="0"/>
        <v>32081</v>
      </c>
    </row>
    <row r="63" spans="1:5">
      <c r="A63" s="23" t="s">
        <v>232</v>
      </c>
      <c r="B63" s="23" t="s">
        <v>1382</v>
      </c>
      <c r="C63" s="178">
        <v>314885</v>
      </c>
      <c r="D63" s="178">
        <v>45</v>
      </c>
      <c r="E63" s="181">
        <f t="shared" si="0"/>
        <v>314930</v>
      </c>
    </row>
    <row r="64" spans="1:5">
      <c r="A64" s="179" t="s">
        <v>234</v>
      </c>
      <c r="B64" s="23" t="s">
        <v>1467</v>
      </c>
      <c r="C64" s="178">
        <v>0</v>
      </c>
      <c r="D64" s="178">
        <v>0</v>
      </c>
      <c r="E64" s="181">
        <f t="shared" si="0"/>
        <v>0</v>
      </c>
    </row>
    <row r="65" spans="1:5">
      <c r="A65" s="23" t="s">
        <v>236</v>
      </c>
      <c r="B65" s="23" t="s">
        <v>1635</v>
      </c>
      <c r="C65" s="178">
        <v>0</v>
      </c>
      <c r="D65" s="178">
        <v>4336</v>
      </c>
      <c r="E65" s="181">
        <f t="shared" si="0"/>
        <v>4336</v>
      </c>
    </row>
    <row r="66" spans="1:5">
      <c r="A66" s="23" t="s">
        <v>238</v>
      </c>
      <c r="B66" s="23" t="s">
        <v>1636</v>
      </c>
      <c r="C66" s="178">
        <v>0</v>
      </c>
      <c r="D66" s="178">
        <v>0</v>
      </c>
      <c r="E66" s="181">
        <f t="shared" si="0"/>
        <v>0</v>
      </c>
    </row>
    <row r="67" spans="1:5">
      <c r="A67" s="23" t="s">
        <v>240</v>
      </c>
      <c r="B67" s="23" t="s">
        <v>1637</v>
      </c>
      <c r="C67" s="178">
        <v>22099</v>
      </c>
      <c r="D67" s="178">
        <v>3750</v>
      </c>
      <c r="E67" s="181">
        <f t="shared" si="0"/>
        <v>25849</v>
      </c>
    </row>
    <row r="68" spans="1:5">
      <c r="A68" s="23" t="s">
        <v>409</v>
      </c>
      <c r="B68" s="23" t="s">
        <v>1383</v>
      </c>
      <c r="C68" s="178">
        <v>35260</v>
      </c>
      <c r="D68" s="178">
        <v>610</v>
      </c>
      <c r="E68" s="181">
        <f t="shared" si="0"/>
        <v>35870</v>
      </c>
    </row>
    <row r="69" spans="1:5">
      <c r="A69" s="23" t="s">
        <v>411</v>
      </c>
      <c r="B69" s="23" t="s">
        <v>1638</v>
      </c>
      <c r="C69" s="178">
        <v>0</v>
      </c>
      <c r="D69" s="178">
        <v>0</v>
      </c>
      <c r="E69" s="181">
        <f t="shared" ref="E69:E132" si="1">C69+D69</f>
        <v>0</v>
      </c>
    </row>
    <row r="70" spans="1:5">
      <c r="A70" s="23" t="s">
        <v>413</v>
      </c>
      <c r="B70" s="23" t="s">
        <v>1384</v>
      </c>
      <c r="C70" s="178">
        <v>15385</v>
      </c>
      <c r="D70" s="178">
        <v>0</v>
      </c>
      <c r="E70" s="181">
        <f t="shared" si="1"/>
        <v>15385</v>
      </c>
    </row>
    <row r="71" spans="1:5">
      <c r="A71" s="23" t="s">
        <v>415</v>
      </c>
      <c r="B71" s="23" t="s">
        <v>1385</v>
      </c>
      <c r="C71" s="178">
        <v>1342</v>
      </c>
      <c r="D71" s="178">
        <v>1587</v>
      </c>
      <c r="E71" s="181">
        <f t="shared" si="1"/>
        <v>2929</v>
      </c>
    </row>
    <row r="72" spans="1:5">
      <c r="A72" s="23" t="s">
        <v>417</v>
      </c>
      <c r="B72" s="23" t="s">
        <v>1468</v>
      </c>
      <c r="C72" s="178">
        <v>33707</v>
      </c>
      <c r="D72" s="178">
        <v>0</v>
      </c>
      <c r="E72" s="181">
        <f t="shared" si="1"/>
        <v>33707</v>
      </c>
    </row>
    <row r="73" spans="1:5">
      <c r="A73" s="23" t="s">
        <v>419</v>
      </c>
      <c r="B73" s="23" t="s">
        <v>1639</v>
      </c>
      <c r="C73" s="178">
        <v>0</v>
      </c>
      <c r="D73" s="178">
        <v>510</v>
      </c>
      <c r="E73" s="181">
        <f t="shared" si="1"/>
        <v>510</v>
      </c>
    </row>
    <row r="74" spans="1:5">
      <c r="A74" s="23" t="s">
        <v>513</v>
      </c>
      <c r="B74" s="23" t="s">
        <v>1640</v>
      </c>
      <c r="C74" s="178">
        <v>573967</v>
      </c>
      <c r="D74" s="178">
        <v>20683</v>
      </c>
      <c r="E74" s="181">
        <f t="shared" si="1"/>
        <v>594650</v>
      </c>
    </row>
    <row r="75" spans="1:5">
      <c r="A75" s="23" t="s">
        <v>515</v>
      </c>
      <c r="B75" s="23" t="s">
        <v>1641</v>
      </c>
      <c r="C75" s="178">
        <v>0</v>
      </c>
      <c r="D75" s="178">
        <v>0</v>
      </c>
      <c r="E75" s="181">
        <f t="shared" si="1"/>
        <v>0</v>
      </c>
    </row>
    <row r="76" spans="1:5">
      <c r="A76" s="23" t="s">
        <v>516</v>
      </c>
      <c r="B76" s="23" t="s">
        <v>1642</v>
      </c>
      <c r="C76" s="178">
        <v>0</v>
      </c>
      <c r="D76" s="178">
        <v>0</v>
      </c>
      <c r="E76" s="181">
        <f t="shared" si="1"/>
        <v>0</v>
      </c>
    </row>
    <row r="77" spans="1:5">
      <c r="A77" s="23" t="s">
        <v>517</v>
      </c>
      <c r="B77" s="23" t="s">
        <v>1643</v>
      </c>
      <c r="C77" s="178">
        <v>0</v>
      </c>
      <c r="D77" s="178">
        <v>0</v>
      </c>
      <c r="E77" s="181">
        <f t="shared" si="1"/>
        <v>0</v>
      </c>
    </row>
    <row r="78" spans="1:5">
      <c r="A78" s="23" t="s">
        <v>420</v>
      </c>
      <c r="B78" s="23" t="s">
        <v>1386</v>
      </c>
      <c r="C78" s="178">
        <v>147596</v>
      </c>
      <c r="D78" s="178">
        <v>897</v>
      </c>
      <c r="E78" s="181">
        <f t="shared" si="1"/>
        <v>148493</v>
      </c>
    </row>
    <row r="79" spans="1:5">
      <c r="A79" s="23" t="s">
        <v>422</v>
      </c>
      <c r="B79" s="23" t="s">
        <v>1644</v>
      </c>
      <c r="C79" s="178">
        <v>0</v>
      </c>
      <c r="D79" s="178">
        <v>0</v>
      </c>
      <c r="E79" s="181">
        <f t="shared" si="1"/>
        <v>0</v>
      </c>
    </row>
    <row r="80" spans="1:5">
      <c r="A80" s="23" t="s">
        <v>424</v>
      </c>
      <c r="B80" s="23" t="s">
        <v>1469</v>
      </c>
      <c r="C80" s="178">
        <v>2257</v>
      </c>
      <c r="D80" s="178">
        <v>100</v>
      </c>
      <c r="E80" s="181">
        <f t="shared" si="1"/>
        <v>2357</v>
      </c>
    </row>
    <row r="81" spans="1:5">
      <c r="A81" s="23" t="s">
        <v>426</v>
      </c>
      <c r="B81" s="23" t="s">
        <v>1470</v>
      </c>
      <c r="C81" s="178">
        <v>0</v>
      </c>
      <c r="D81" s="178">
        <v>20712</v>
      </c>
      <c r="E81" s="181">
        <f t="shared" si="1"/>
        <v>20712</v>
      </c>
    </row>
    <row r="82" spans="1:5">
      <c r="A82" s="23" t="s">
        <v>428</v>
      </c>
      <c r="B82" s="23" t="s">
        <v>1387</v>
      </c>
      <c r="C82" s="178">
        <v>21734</v>
      </c>
      <c r="D82" s="178">
        <v>0</v>
      </c>
      <c r="E82" s="181">
        <f t="shared" si="1"/>
        <v>21734</v>
      </c>
    </row>
    <row r="83" spans="1:5">
      <c r="A83" s="23" t="s">
        <v>430</v>
      </c>
      <c r="B83" s="23" t="s">
        <v>1645</v>
      </c>
      <c r="C83" s="178">
        <v>0</v>
      </c>
      <c r="D83" s="178">
        <v>0</v>
      </c>
      <c r="E83" s="181">
        <f t="shared" si="1"/>
        <v>0</v>
      </c>
    </row>
    <row r="84" spans="1:5">
      <c r="A84" s="23" t="s">
        <v>436</v>
      </c>
      <c r="B84" s="23" t="s">
        <v>1646</v>
      </c>
      <c r="C84" s="178">
        <v>0</v>
      </c>
      <c r="D84" s="178">
        <v>0</v>
      </c>
      <c r="E84" s="181">
        <f t="shared" si="1"/>
        <v>0</v>
      </c>
    </row>
    <row r="85" spans="1:5">
      <c r="A85" s="23" t="s">
        <v>219</v>
      </c>
      <c r="B85" s="23" t="s">
        <v>1647</v>
      </c>
      <c r="C85" s="178">
        <v>0</v>
      </c>
      <c r="D85" s="178">
        <v>0</v>
      </c>
      <c r="E85" s="181">
        <f t="shared" si="1"/>
        <v>0</v>
      </c>
    </row>
    <row r="86" spans="1:5">
      <c r="A86" s="23" t="s">
        <v>221</v>
      </c>
      <c r="B86" s="23" t="s">
        <v>1648</v>
      </c>
      <c r="C86" s="178">
        <v>3005</v>
      </c>
      <c r="D86" s="178">
        <v>0</v>
      </c>
      <c r="E86" s="181">
        <f t="shared" si="1"/>
        <v>3005</v>
      </c>
    </row>
    <row r="87" spans="1:5">
      <c r="A87" s="23" t="s">
        <v>313</v>
      </c>
      <c r="B87" s="23" t="s">
        <v>1649</v>
      </c>
      <c r="C87" s="178">
        <v>0</v>
      </c>
      <c r="D87" s="178">
        <v>0</v>
      </c>
      <c r="E87" s="181">
        <f t="shared" si="1"/>
        <v>0</v>
      </c>
    </row>
    <row r="88" spans="1:5">
      <c r="A88" s="23" t="s">
        <v>439</v>
      </c>
      <c r="B88" s="23" t="s">
        <v>1471</v>
      </c>
      <c r="C88" s="178">
        <v>0</v>
      </c>
      <c r="D88" s="178">
        <v>554</v>
      </c>
      <c r="E88" s="181">
        <f t="shared" si="1"/>
        <v>554</v>
      </c>
    </row>
    <row r="89" spans="1:5">
      <c r="A89" s="23" t="s">
        <v>441</v>
      </c>
      <c r="B89" s="23" t="s">
        <v>1650</v>
      </c>
      <c r="C89" s="178">
        <v>0</v>
      </c>
      <c r="D89" s="178">
        <v>505</v>
      </c>
      <c r="E89" s="181">
        <f t="shared" si="1"/>
        <v>505</v>
      </c>
    </row>
    <row r="90" spans="1:5">
      <c r="A90" s="23" t="s">
        <v>445</v>
      </c>
      <c r="B90" s="23" t="s">
        <v>1388</v>
      </c>
      <c r="C90" s="178">
        <v>3805</v>
      </c>
      <c r="D90" s="178">
        <v>0</v>
      </c>
      <c r="E90" s="181">
        <f t="shared" si="1"/>
        <v>3805</v>
      </c>
    </row>
    <row r="91" spans="1:5">
      <c r="A91" s="23" t="s">
        <v>447</v>
      </c>
      <c r="B91" s="23" t="s">
        <v>1389</v>
      </c>
      <c r="C91" s="178">
        <v>0</v>
      </c>
      <c r="D91" s="178">
        <v>0</v>
      </c>
      <c r="E91" s="181">
        <f t="shared" si="1"/>
        <v>0</v>
      </c>
    </row>
    <row r="92" spans="1:5">
      <c r="A92" s="23" t="s">
        <v>449</v>
      </c>
      <c r="B92" s="23" t="s">
        <v>1390</v>
      </c>
      <c r="C92" s="178">
        <v>32884</v>
      </c>
      <c r="D92" s="178">
        <v>519</v>
      </c>
      <c r="E92" s="181">
        <f t="shared" si="1"/>
        <v>33403</v>
      </c>
    </row>
    <row r="93" spans="1:5">
      <c r="A93" s="23" t="s">
        <v>332</v>
      </c>
      <c r="B93" s="23" t="s">
        <v>1651</v>
      </c>
      <c r="C93" s="178">
        <v>1</v>
      </c>
      <c r="D93" s="178">
        <v>0</v>
      </c>
      <c r="E93" s="181">
        <f t="shared" si="1"/>
        <v>1</v>
      </c>
    </row>
    <row r="94" spans="1:5">
      <c r="A94" s="23" t="s">
        <v>334</v>
      </c>
      <c r="B94" s="23" t="s">
        <v>1652</v>
      </c>
      <c r="C94" s="178">
        <v>9036</v>
      </c>
      <c r="D94" s="178">
        <v>173</v>
      </c>
      <c r="E94" s="181">
        <f t="shared" si="1"/>
        <v>9209</v>
      </c>
    </row>
    <row r="95" spans="1:5">
      <c r="A95" s="23" t="s">
        <v>336</v>
      </c>
      <c r="B95" s="23" t="s">
        <v>1653</v>
      </c>
      <c r="C95" s="178">
        <v>29081</v>
      </c>
      <c r="D95" s="178">
        <v>0</v>
      </c>
      <c r="E95" s="181">
        <f t="shared" si="1"/>
        <v>29081</v>
      </c>
    </row>
    <row r="96" spans="1:5">
      <c r="A96" s="23" t="s">
        <v>338</v>
      </c>
      <c r="B96" s="23" t="s">
        <v>1654</v>
      </c>
      <c r="C96" s="178">
        <v>4402</v>
      </c>
      <c r="D96" s="178">
        <v>0</v>
      </c>
      <c r="E96" s="181">
        <f t="shared" si="1"/>
        <v>4402</v>
      </c>
    </row>
    <row r="97" spans="1:5">
      <c r="A97" s="23" t="s">
        <v>964</v>
      </c>
      <c r="B97" s="23" t="s">
        <v>1655</v>
      </c>
      <c r="C97" s="178">
        <v>0</v>
      </c>
      <c r="D97" s="178">
        <v>0</v>
      </c>
      <c r="E97" s="181">
        <f t="shared" si="1"/>
        <v>0</v>
      </c>
    </row>
    <row r="98" spans="1:5">
      <c r="A98" s="23" t="s">
        <v>1051</v>
      </c>
      <c r="B98" s="23" t="s">
        <v>1656</v>
      </c>
      <c r="C98" s="178">
        <v>49136</v>
      </c>
      <c r="D98" s="178">
        <v>0</v>
      </c>
      <c r="E98" s="181">
        <f t="shared" si="1"/>
        <v>49136</v>
      </c>
    </row>
    <row r="99" spans="1:5">
      <c r="A99" s="23" t="s">
        <v>340</v>
      </c>
      <c r="B99" s="23" t="s">
        <v>1657</v>
      </c>
      <c r="C99" s="178">
        <v>0</v>
      </c>
      <c r="D99" s="178">
        <v>0</v>
      </c>
      <c r="E99" s="181">
        <f t="shared" si="1"/>
        <v>0</v>
      </c>
    </row>
    <row r="100" spans="1:5">
      <c r="A100" s="23" t="s">
        <v>342</v>
      </c>
      <c r="B100" s="23" t="s">
        <v>1658</v>
      </c>
      <c r="C100" s="178">
        <v>0</v>
      </c>
      <c r="D100" s="178">
        <v>0</v>
      </c>
      <c r="E100" s="181">
        <f t="shared" si="1"/>
        <v>0</v>
      </c>
    </row>
    <row r="101" spans="1:5">
      <c r="A101" s="23" t="s">
        <v>958</v>
      </c>
      <c r="B101" s="23" t="s">
        <v>1659</v>
      </c>
      <c r="C101" s="178">
        <v>0</v>
      </c>
      <c r="D101" s="178">
        <v>0</v>
      </c>
      <c r="E101" s="181">
        <f t="shared" si="1"/>
        <v>0</v>
      </c>
    </row>
    <row r="102" spans="1:5">
      <c r="A102" s="23" t="s">
        <v>344</v>
      </c>
      <c r="B102" s="23" t="s">
        <v>1391</v>
      </c>
      <c r="C102" s="178">
        <v>1986</v>
      </c>
      <c r="D102" s="178">
        <v>0</v>
      </c>
      <c r="E102" s="181">
        <f t="shared" si="1"/>
        <v>1986</v>
      </c>
    </row>
    <row r="103" spans="1:5">
      <c r="A103" s="23" t="s">
        <v>454</v>
      </c>
      <c r="B103" s="23" t="s">
        <v>1392</v>
      </c>
      <c r="C103" s="178">
        <v>0</v>
      </c>
      <c r="D103" s="178">
        <v>998</v>
      </c>
      <c r="E103" s="181">
        <f t="shared" si="1"/>
        <v>998</v>
      </c>
    </row>
    <row r="104" spans="1:5">
      <c r="A104" s="23" t="s">
        <v>456</v>
      </c>
      <c r="B104" s="23" t="s">
        <v>1660</v>
      </c>
      <c r="C104" s="178">
        <v>29061</v>
      </c>
      <c r="D104" s="178">
        <v>0</v>
      </c>
      <c r="E104" s="181">
        <f t="shared" si="1"/>
        <v>29061</v>
      </c>
    </row>
    <row r="105" spans="1:5">
      <c r="A105" s="23" t="s">
        <v>458</v>
      </c>
      <c r="B105" s="23" t="s">
        <v>1393</v>
      </c>
      <c r="C105" s="178">
        <v>526735</v>
      </c>
      <c r="D105" s="178">
        <v>12798</v>
      </c>
      <c r="E105" s="181">
        <f t="shared" si="1"/>
        <v>539533</v>
      </c>
    </row>
    <row r="106" spans="1:5">
      <c r="A106" s="23" t="s">
        <v>460</v>
      </c>
      <c r="B106" s="23" t="s">
        <v>1394</v>
      </c>
      <c r="C106" s="178">
        <v>62311</v>
      </c>
      <c r="D106" s="178">
        <v>124173</v>
      </c>
      <c r="E106" s="181">
        <f t="shared" si="1"/>
        <v>186484</v>
      </c>
    </row>
    <row r="107" spans="1:5">
      <c r="A107" s="23" t="s">
        <v>479</v>
      </c>
      <c r="B107" s="23" t="s">
        <v>1395</v>
      </c>
      <c r="C107" s="178">
        <v>16806</v>
      </c>
      <c r="D107" s="178">
        <v>237</v>
      </c>
      <c r="E107" s="181">
        <f t="shared" si="1"/>
        <v>17043</v>
      </c>
    </row>
    <row r="108" spans="1:5">
      <c r="A108" s="23" t="s">
        <v>481</v>
      </c>
      <c r="B108" s="23" t="s">
        <v>1396</v>
      </c>
      <c r="C108" s="178">
        <v>252872</v>
      </c>
      <c r="D108" s="178">
        <v>19644</v>
      </c>
      <c r="E108" s="181">
        <f t="shared" si="1"/>
        <v>272516</v>
      </c>
    </row>
    <row r="109" spans="1:5">
      <c r="A109" s="23" t="s">
        <v>482</v>
      </c>
      <c r="B109" s="23" t="s">
        <v>1472</v>
      </c>
      <c r="C109" s="178">
        <v>72855</v>
      </c>
      <c r="D109" s="178">
        <v>2677</v>
      </c>
      <c r="E109" s="181">
        <f t="shared" si="1"/>
        <v>75532</v>
      </c>
    </row>
    <row r="110" spans="1:5">
      <c r="A110" s="23" t="s">
        <v>121</v>
      </c>
      <c r="B110" s="23" t="s">
        <v>1397</v>
      </c>
      <c r="C110" s="178">
        <v>0</v>
      </c>
      <c r="D110" s="178">
        <v>0</v>
      </c>
      <c r="E110" s="181">
        <f t="shared" si="1"/>
        <v>0</v>
      </c>
    </row>
    <row r="111" spans="1:5">
      <c r="A111" s="23" t="s">
        <v>295</v>
      </c>
      <c r="B111" s="23" t="s">
        <v>1661</v>
      </c>
      <c r="C111" s="178">
        <v>27413</v>
      </c>
      <c r="D111" s="178">
        <v>3737</v>
      </c>
      <c r="E111" s="181">
        <f t="shared" si="1"/>
        <v>31150</v>
      </c>
    </row>
    <row r="112" spans="1:5">
      <c r="A112" s="23" t="s">
        <v>123</v>
      </c>
      <c r="B112" s="23" t="s">
        <v>1662</v>
      </c>
      <c r="C112" s="178">
        <v>0</v>
      </c>
      <c r="D112" s="178">
        <v>0</v>
      </c>
      <c r="E112" s="181">
        <f t="shared" si="1"/>
        <v>0</v>
      </c>
    </row>
    <row r="113" spans="1:5">
      <c r="A113" s="23" t="s">
        <v>124</v>
      </c>
      <c r="B113" s="23" t="s">
        <v>1398</v>
      </c>
      <c r="C113" s="178">
        <v>54379</v>
      </c>
      <c r="D113" s="178">
        <v>0</v>
      </c>
      <c r="E113" s="181">
        <f t="shared" si="1"/>
        <v>54379</v>
      </c>
    </row>
    <row r="114" spans="1:5">
      <c r="A114" s="23" t="s">
        <v>126</v>
      </c>
      <c r="B114" s="23" t="s">
        <v>1399</v>
      </c>
      <c r="C114" s="178">
        <v>46862</v>
      </c>
      <c r="D114" s="178">
        <v>3647</v>
      </c>
      <c r="E114" s="181">
        <f t="shared" si="1"/>
        <v>50509</v>
      </c>
    </row>
    <row r="115" spans="1:5">
      <c r="A115" s="23" t="s">
        <v>128</v>
      </c>
      <c r="B115" s="23" t="s">
        <v>1400</v>
      </c>
      <c r="C115" s="178">
        <v>0</v>
      </c>
      <c r="D115" s="178">
        <v>0</v>
      </c>
      <c r="E115" s="181">
        <f t="shared" si="1"/>
        <v>0</v>
      </c>
    </row>
    <row r="116" spans="1:5">
      <c r="A116" s="23" t="s">
        <v>130</v>
      </c>
      <c r="B116" s="23" t="s">
        <v>1401</v>
      </c>
      <c r="C116" s="178">
        <v>67473</v>
      </c>
      <c r="D116" s="178">
        <v>0</v>
      </c>
      <c r="E116" s="181">
        <f t="shared" si="1"/>
        <v>67473</v>
      </c>
    </row>
    <row r="117" spans="1:5">
      <c r="A117" s="23" t="s">
        <v>132</v>
      </c>
      <c r="B117" s="23" t="s">
        <v>1663</v>
      </c>
      <c r="C117" s="178">
        <v>0</v>
      </c>
      <c r="D117" s="178">
        <v>0</v>
      </c>
      <c r="E117" s="181">
        <f t="shared" si="1"/>
        <v>0</v>
      </c>
    </row>
    <row r="118" spans="1:5">
      <c r="A118" s="23" t="s">
        <v>462</v>
      </c>
      <c r="B118" s="23" t="s">
        <v>1664</v>
      </c>
      <c r="C118" s="178">
        <v>0</v>
      </c>
      <c r="D118" s="178">
        <v>2603</v>
      </c>
      <c r="E118" s="181">
        <f t="shared" si="1"/>
        <v>2603</v>
      </c>
    </row>
    <row r="119" spans="1:5">
      <c r="A119" s="23" t="s">
        <v>464</v>
      </c>
      <c r="B119" s="23" t="s">
        <v>1665</v>
      </c>
      <c r="C119" s="178">
        <v>0</v>
      </c>
      <c r="D119" s="178">
        <v>0</v>
      </c>
      <c r="E119" s="181">
        <f t="shared" si="1"/>
        <v>0</v>
      </c>
    </row>
    <row r="120" spans="1:5">
      <c r="A120" s="23" t="s">
        <v>466</v>
      </c>
      <c r="B120" s="23" t="s">
        <v>1473</v>
      </c>
      <c r="C120" s="178">
        <v>5978</v>
      </c>
      <c r="D120" s="178">
        <v>3146</v>
      </c>
      <c r="E120" s="181">
        <f t="shared" si="1"/>
        <v>9124</v>
      </c>
    </row>
    <row r="121" spans="1:5">
      <c r="A121" s="23" t="s">
        <v>468</v>
      </c>
      <c r="B121" s="23" t="s">
        <v>1666</v>
      </c>
      <c r="C121" s="178">
        <v>0</v>
      </c>
      <c r="D121" s="178">
        <v>0</v>
      </c>
      <c r="E121" s="181">
        <f t="shared" si="1"/>
        <v>0</v>
      </c>
    </row>
    <row r="122" spans="1:5">
      <c r="A122" s="23" t="s">
        <v>470</v>
      </c>
      <c r="B122" s="23" t="s">
        <v>1402</v>
      </c>
      <c r="C122" s="178">
        <v>23620</v>
      </c>
      <c r="D122" s="178">
        <v>0</v>
      </c>
      <c r="E122" s="181">
        <f t="shared" si="1"/>
        <v>23620</v>
      </c>
    </row>
    <row r="123" spans="1:5">
      <c r="A123" s="23" t="s">
        <v>1052</v>
      </c>
      <c r="B123" s="23" t="s">
        <v>1667</v>
      </c>
      <c r="C123" s="178">
        <v>0</v>
      </c>
      <c r="D123" s="178">
        <v>0</v>
      </c>
      <c r="E123" s="181">
        <f t="shared" si="1"/>
        <v>0</v>
      </c>
    </row>
    <row r="124" spans="1:5">
      <c r="A124" s="23" t="s">
        <v>488</v>
      </c>
      <c r="B124" s="23" t="s">
        <v>1403</v>
      </c>
      <c r="C124" s="178">
        <v>25990</v>
      </c>
      <c r="D124" s="178">
        <v>0</v>
      </c>
      <c r="E124" s="181">
        <f t="shared" si="1"/>
        <v>25990</v>
      </c>
    </row>
    <row r="125" spans="1:5">
      <c r="A125" s="23" t="s">
        <v>490</v>
      </c>
      <c r="B125" s="23" t="s">
        <v>1668</v>
      </c>
      <c r="C125" s="178">
        <v>4501</v>
      </c>
      <c r="D125" s="178">
        <v>6721</v>
      </c>
      <c r="E125" s="181">
        <f t="shared" si="1"/>
        <v>11222</v>
      </c>
    </row>
    <row r="126" spans="1:5">
      <c r="A126" s="23" t="s">
        <v>492</v>
      </c>
      <c r="B126" s="23" t="s">
        <v>1492</v>
      </c>
      <c r="C126" s="178">
        <v>0</v>
      </c>
      <c r="D126" s="178">
        <v>1019</v>
      </c>
      <c r="E126" s="181">
        <f t="shared" si="1"/>
        <v>1019</v>
      </c>
    </row>
    <row r="127" spans="1:5">
      <c r="A127" s="23" t="s">
        <v>494</v>
      </c>
      <c r="B127" s="23" t="s">
        <v>1404</v>
      </c>
      <c r="C127" s="178">
        <v>43774</v>
      </c>
      <c r="D127" s="178">
        <v>4685</v>
      </c>
      <c r="E127" s="181">
        <f t="shared" si="1"/>
        <v>48459</v>
      </c>
    </row>
    <row r="128" spans="1:5">
      <c r="A128" s="23" t="s">
        <v>496</v>
      </c>
      <c r="B128" s="23" t="s">
        <v>1405</v>
      </c>
      <c r="C128" s="178">
        <v>0</v>
      </c>
      <c r="D128" s="178">
        <v>0</v>
      </c>
      <c r="E128" s="181">
        <f t="shared" si="1"/>
        <v>0</v>
      </c>
    </row>
    <row r="129" spans="1:5">
      <c r="A129" s="23" t="s">
        <v>497</v>
      </c>
      <c r="B129" s="23" t="s">
        <v>1669</v>
      </c>
      <c r="C129" s="178">
        <v>38700</v>
      </c>
      <c r="D129" s="178">
        <v>0</v>
      </c>
      <c r="E129" s="181">
        <f t="shared" si="1"/>
        <v>38700</v>
      </c>
    </row>
    <row r="130" spans="1:5">
      <c r="A130" s="23" t="s">
        <v>499</v>
      </c>
      <c r="B130" s="23" t="s">
        <v>1406</v>
      </c>
      <c r="C130" s="178">
        <v>346250</v>
      </c>
      <c r="D130" s="178">
        <v>0</v>
      </c>
      <c r="E130" s="181">
        <f t="shared" si="1"/>
        <v>346250</v>
      </c>
    </row>
    <row r="131" spans="1:5">
      <c r="A131" s="23" t="s">
        <v>38</v>
      </c>
      <c r="B131" s="23" t="s">
        <v>1670</v>
      </c>
      <c r="C131" s="178">
        <v>0</v>
      </c>
      <c r="D131" s="178">
        <v>5</v>
      </c>
      <c r="E131" s="181">
        <f t="shared" si="1"/>
        <v>5</v>
      </c>
    </row>
    <row r="132" spans="1:5">
      <c r="A132" s="23" t="s">
        <v>39</v>
      </c>
      <c r="B132" s="23" t="s">
        <v>1493</v>
      </c>
      <c r="C132" s="178">
        <v>0</v>
      </c>
      <c r="D132" s="178">
        <v>0</v>
      </c>
      <c r="E132" s="181">
        <f t="shared" si="1"/>
        <v>0</v>
      </c>
    </row>
    <row r="133" spans="1:5">
      <c r="A133" s="23" t="s">
        <v>41</v>
      </c>
      <c r="B133" s="23" t="s">
        <v>1671</v>
      </c>
      <c r="C133" s="178">
        <v>0</v>
      </c>
      <c r="D133" s="178">
        <v>0</v>
      </c>
      <c r="E133" s="181">
        <f t="shared" ref="E133:E196" si="2">C133+D133</f>
        <v>0</v>
      </c>
    </row>
    <row r="134" spans="1:5">
      <c r="A134" s="23" t="s">
        <v>43</v>
      </c>
      <c r="B134" s="23" t="s">
        <v>1407</v>
      </c>
      <c r="C134" s="178">
        <v>44577</v>
      </c>
      <c r="D134" s="178">
        <v>2898</v>
      </c>
      <c r="E134" s="181">
        <f t="shared" si="2"/>
        <v>47475</v>
      </c>
    </row>
    <row r="135" spans="1:5">
      <c r="A135" s="23" t="s">
        <v>45</v>
      </c>
      <c r="B135" s="23" t="s">
        <v>1672</v>
      </c>
      <c r="C135" s="178">
        <v>6375</v>
      </c>
      <c r="D135" s="178">
        <v>674</v>
      </c>
      <c r="E135" s="181">
        <f t="shared" si="2"/>
        <v>7049</v>
      </c>
    </row>
    <row r="136" spans="1:5">
      <c r="A136" s="23" t="s">
        <v>71</v>
      </c>
      <c r="B136" s="23" t="s">
        <v>1673</v>
      </c>
      <c r="C136" s="178">
        <v>0</v>
      </c>
      <c r="D136" s="178">
        <v>0</v>
      </c>
      <c r="E136" s="181">
        <f t="shared" si="2"/>
        <v>0</v>
      </c>
    </row>
    <row r="137" spans="1:5">
      <c r="A137" s="23" t="s">
        <v>73</v>
      </c>
      <c r="B137" s="23" t="s">
        <v>1674</v>
      </c>
      <c r="C137" s="178">
        <v>0</v>
      </c>
      <c r="D137" s="178">
        <v>0</v>
      </c>
      <c r="E137" s="181">
        <f t="shared" si="2"/>
        <v>0</v>
      </c>
    </row>
    <row r="138" spans="1:5">
      <c r="A138" s="23" t="s">
        <v>75</v>
      </c>
      <c r="B138" s="23" t="s">
        <v>1675</v>
      </c>
      <c r="C138" s="178">
        <v>9814</v>
      </c>
      <c r="D138" s="178">
        <v>0</v>
      </c>
      <c r="E138" s="181">
        <f t="shared" si="2"/>
        <v>9814</v>
      </c>
    </row>
    <row r="139" spans="1:5">
      <c r="A139" s="23" t="s">
        <v>205</v>
      </c>
      <c r="B139" s="23" t="s">
        <v>1474</v>
      </c>
      <c r="C139" s="178">
        <v>0</v>
      </c>
      <c r="D139" s="178">
        <v>8003</v>
      </c>
      <c r="E139" s="181">
        <f t="shared" si="2"/>
        <v>8003</v>
      </c>
    </row>
    <row r="140" spans="1:5">
      <c r="A140" s="23" t="s">
        <v>207</v>
      </c>
      <c r="B140" s="23" t="s">
        <v>1494</v>
      </c>
      <c r="C140" s="178">
        <v>0</v>
      </c>
      <c r="D140" s="178">
        <v>5114</v>
      </c>
      <c r="E140" s="181">
        <f t="shared" si="2"/>
        <v>5114</v>
      </c>
    </row>
    <row r="141" spans="1:5">
      <c r="A141" s="23" t="s">
        <v>209</v>
      </c>
      <c r="B141" s="23" t="s">
        <v>1676</v>
      </c>
      <c r="C141" s="178">
        <v>0</v>
      </c>
      <c r="D141" s="178">
        <v>3173</v>
      </c>
      <c r="E141" s="181">
        <f t="shared" si="2"/>
        <v>3173</v>
      </c>
    </row>
    <row r="142" spans="1:5">
      <c r="A142" s="23" t="s">
        <v>211</v>
      </c>
      <c r="B142" s="23" t="s">
        <v>1677</v>
      </c>
      <c r="C142" s="178">
        <v>75986</v>
      </c>
      <c r="D142" s="178">
        <v>0</v>
      </c>
      <c r="E142" s="181">
        <f t="shared" si="2"/>
        <v>75986</v>
      </c>
    </row>
    <row r="143" spans="1:5">
      <c r="A143" s="23" t="s">
        <v>89</v>
      </c>
      <c r="B143" s="23" t="s">
        <v>1678</v>
      </c>
      <c r="C143" s="178">
        <v>0</v>
      </c>
      <c r="D143" s="178">
        <v>0</v>
      </c>
      <c r="E143" s="181">
        <f t="shared" si="2"/>
        <v>0</v>
      </c>
    </row>
    <row r="144" spans="1:5">
      <c r="A144" s="23" t="s">
        <v>90</v>
      </c>
      <c r="B144" s="23" t="s">
        <v>1408</v>
      </c>
      <c r="C144" s="178">
        <v>162120</v>
      </c>
      <c r="D144" s="178">
        <v>0</v>
      </c>
      <c r="E144" s="181">
        <f t="shared" si="2"/>
        <v>162120</v>
      </c>
    </row>
    <row r="145" spans="1:5">
      <c r="A145" s="23" t="s">
        <v>92</v>
      </c>
      <c r="B145" s="23" t="s">
        <v>1679</v>
      </c>
      <c r="C145" s="178">
        <v>0</v>
      </c>
      <c r="D145" s="178">
        <v>0</v>
      </c>
      <c r="E145" s="181">
        <f t="shared" si="2"/>
        <v>0</v>
      </c>
    </row>
    <row r="146" spans="1:5">
      <c r="A146" s="23" t="s">
        <v>94</v>
      </c>
      <c r="B146" s="23" t="s">
        <v>1475</v>
      </c>
      <c r="C146" s="178">
        <v>4033</v>
      </c>
      <c r="D146" s="178">
        <v>78</v>
      </c>
      <c r="E146" s="181">
        <f t="shared" si="2"/>
        <v>4111</v>
      </c>
    </row>
    <row r="147" spans="1:5">
      <c r="A147" s="23" t="s">
        <v>97</v>
      </c>
      <c r="B147" s="23" t="s">
        <v>1680</v>
      </c>
      <c r="C147" s="178">
        <v>30332</v>
      </c>
      <c r="D147" s="178">
        <v>0</v>
      </c>
      <c r="E147" s="181">
        <f t="shared" si="2"/>
        <v>30332</v>
      </c>
    </row>
    <row r="148" spans="1:5">
      <c r="A148" s="23" t="s">
        <v>99</v>
      </c>
      <c r="B148" s="23" t="s">
        <v>1409</v>
      </c>
      <c r="C148" s="178">
        <v>0</v>
      </c>
      <c r="D148" s="178">
        <v>0</v>
      </c>
      <c r="E148" s="181">
        <f t="shared" si="2"/>
        <v>0</v>
      </c>
    </row>
    <row r="149" spans="1:5">
      <c r="A149" s="23" t="s">
        <v>101</v>
      </c>
      <c r="B149" s="23" t="s">
        <v>1681</v>
      </c>
      <c r="C149" s="178">
        <v>0</v>
      </c>
      <c r="D149" s="178">
        <v>0</v>
      </c>
      <c r="E149" s="181">
        <f t="shared" si="2"/>
        <v>0</v>
      </c>
    </row>
    <row r="150" spans="1:5">
      <c r="A150" s="23" t="s">
        <v>103</v>
      </c>
      <c r="B150" s="23" t="s">
        <v>1682</v>
      </c>
      <c r="C150" s="178">
        <v>0</v>
      </c>
      <c r="D150" s="178">
        <v>0</v>
      </c>
      <c r="E150" s="181">
        <f t="shared" si="2"/>
        <v>0</v>
      </c>
    </row>
    <row r="151" spans="1:5">
      <c r="A151" s="23" t="s">
        <v>214</v>
      </c>
      <c r="B151" s="23" t="s">
        <v>1410</v>
      </c>
      <c r="C151" s="178">
        <v>0</v>
      </c>
      <c r="D151" s="178">
        <v>0</v>
      </c>
      <c r="E151" s="181">
        <f t="shared" si="2"/>
        <v>0</v>
      </c>
    </row>
    <row r="152" spans="1:5">
      <c r="A152" s="23" t="s">
        <v>216</v>
      </c>
      <c r="B152" s="23" t="s">
        <v>1683</v>
      </c>
      <c r="C152" s="178">
        <v>0</v>
      </c>
      <c r="D152" s="178">
        <v>0</v>
      </c>
      <c r="E152" s="181">
        <f t="shared" si="2"/>
        <v>0</v>
      </c>
    </row>
    <row r="153" spans="1:5">
      <c r="A153" s="23" t="s">
        <v>48</v>
      </c>
      <c r="B153" s="23" t="s">
        <v>1684</v>
      </c>
      <c r="C153" s="178">
        <v>0</v>
      </c>
      <c r="D153" s="178">
        <v>0</v>
      </c>
      <c r="E153" s="181">
        <f t="shared" si="2"/>
        <v>0</v>
      </c>
    </row>
    <row r="154" spans="1:5">
      <c r="A154" s="23" t="s">
        <v>50</v>
      </c>
      <c r="B154" s="23" t="s">
        <v>1685</v>
      </c>
      <c r="C154" s="178">
        <v>0</v>
      </c>
      <c r="D154" s="178">
        <v>0</v>
      </c>
      <c r="E154" s="181">
        <f t="shared" si="2"/>
        <v>0</v>
      </c>
    </row>
    <row r="155" spans="1:5">
      <c r="A155" s="23" t="s">
        <v>316</v>
      </c>
      <c r="B155" s="23" t="s">
        <v>1411</v>
      </c>
      <c r="C155" s="178">
        <v>39</v>
      </c>
      <c r="D155" s="178">
        <v>516</v>
      </c>
      <c r="E155" s="181">
        <f t="shared" si="2"/>
        <v>555</v>
      </c>
    </row>
    <row r="156" spans="1:5">
      <c r="A156" s="23" t="s">
        <v>318</v>
      </c>
      <c r="B156" s="23" t="s">
        <v>1412</v>
      </c>
      <c r="C156" s="178">
        <v>19498</v>
      </c>
      <c r="D156" s="178">
        <v>0</v>
      </c>
      <c r="E156" s="181">
        <f t="shared" si="2"/>
        <v>19498</v>
      </c>
    </row>
    <row r="157" spans="1:5">
      <c r="A157" s="23" t="s">
        <v>320</v>
      </c>
      <c r="B157" s="23" t="s">
        <v>1476</v>
      </c>
      <c r="C157" s="178">
        <v>0</v>
      </c>
      <c r="D157" s="178">
        <v>269</v>
      </c>
      <c r="E157" s="181">
        <f t="shared" si="2"/>
        <v>269</v>
      </c>
    </row>
    <row r="158" spans="1:5">
      <c r="A158" s="23" t="s">
        <v>322</v>
      </c>
      <c r="B158" s="23" t="s">
        <v>1413</v>
      </c>
      <c r="C158" s="178">
        <v>0</v>
      </c>
      <c r="D158" s="178">
        <v>34227</v>
      </c>
      <c r="E158" s="181">
        <f t="shared" si="2"/>
        <v>34227</v>
      </c>
    </row>
    <row r="159" spans="1:5">
      <c r="A159" s="23" t="s">
        <v>324</v>
      </c>
      <c r="B159" s="23" t="s">
        <v>1686</v>
      </c>
      <c r="C159" s="178">
        <v>0</v>
      </c>
      <c r="D159" s="178">
        <v>0</v>
      </c>
      <c r="E159" s="181">
        <f t="shared" si="2"/>
        <v>0</v>
      </c>
    </row>
    <row r="160" spans="1:5">
      <c r="A160" s="23" t="s">
        <v>326</v>
      </c>
      <c r="B160" s="23" t="s">
        <v>1687</v>
      </c>
      <c r="C160" s="178">
        <v>0</v>
      </c>
      <c r="D160" s="178">
        <v>0</v>
      </c>
      <c r="E160" s="181">
        <f t="shared" si="2"/>
        <v>0</v>
      </c>
    </row>
    <row r="161" spans="1:5">
      <c r="A161" s="23" t="s">
        <v>328</v>
      </c>
      <c r="B161" s="23" t="s">
        <v>1688</v>
      </c>
      <c r="C161" s="178">
        <v>12815</v>
      </c>
      <c r="D161" s="178">
        <v>112</v>
      </c>
      <c r="E161" s="181">
        <f t="shared" si="2"/>
        <v>12927</v>
      </c>
    </row>
    <row r="162" spans="1:5">
      <c r="A162" s="23" t="s">
        <v>104</v>
      </c>
      <c r="B162" s="23" t="s">
        <v>1414</v>
      </c>
      <c r="C162" s="178">
        <v>71140</v>
      </c>
      <c r="D162" s="178">
        <v>934</v>
      </c>
      <c r="E162" s="181">
        <f t="shared" si="2"/>
        <v>72074</v>
      </c>
    </row>
    <row r="163" spans="1:5">
      <c r="A163" s="23" t="s">
        <v>106</v>
      </c>
      <c r="B163" s="23" t="s">
        <v>1689</v>
      </c>
      <c r="C163" s="178">
        <v>0</v>
      </c>
      <c r="D163" s="178">
        <v>0</v>
      </c>
      <c r="E163" s="181">
        <f t="shared" si="2"/>
        <v>0</v>
      </c>
    </row>
    <row r="164" spans="1:5">
      <c r="A164" s="23" t="s">
        <v>587</v>
      </c>
      <c r="B164" s="23" t="s">
        <v>1690</v>
      </c>
      <c r="C164" s="178">
        <v>0</v>
      </c>
      <c r="D164" s="178">
        <v>998</v>
      </c>
      <c r="E164" s="181">
        <f t="shared" si="2"/>
        <v>998</v>
      </c>
    </row>
    <row r="165" spans="1:5">
      <c r="A165" s="23" t="s">
        <v>108</v>
      </c>
      <c r="B165" s="23" t="s">
        <v>1415</v>
      </c>
      <c r="C165" s="178">
        <v>5205</v>
      </c>
      <c r="D165" s="178">
        <v>0</v>
      </c>
      <c r="E165" s="181">
        <f t="shared" si="2"/>
        <v>5205</v>
      </c>
    </row>
    <row r="166" spans="1:5">
      <c r="A166" s="23" t="s">
        <v>110</v>
      </c>
      <c r="B166" s="23" t="s">
        <v>1691</v>
      </c>
      <c r="C166" s="178">
        <v>0</v>
      </c>
      <c r="D166" s="178">
        <v>0</v>
      </c>
      <c r="E166" s="181">
        <f t="shared" si="2"/>
        <v>0</v>
      </c>
    </row>
    <row r="167" spans="1:5">
      <c r="A167" s="23" t="s">
        <v>112</v>
      </c>
      <c r="B167" s="23" t="s">
        <v>1692</v>
      </c>
      <c r="C167" s="178">
        <v>36762</v>
      </c>
      <c r="D167" s="178">
        <v>0</v>
      </c>
      <c r="E167" s="181">
        <f t="shared" si="2"/>
        <v>36762</v>
      </c>
    </row>
    <row r="168" spans="1:5">
      <c r="A168" s="23" t="s">
        <v>114</v>
      </c>
      <c r="B168" s="23" t="s">
        <v>1495</v>
      </c>
      <c r="C168" s="178">
        <v>10324</v>
      </c>
      <c r="D168" s="178">
        <v>0</v>
      </c>
      <c r="E168" s="181">
        <f t="shared" si="2"/>
        <v>10324</v>
      </c>
    </row>
    <row r="169" spans="1:5">
      <c r="A169" s="23" t="s">
        <v>116</v>
      </c>
      <c r="B169" s="23" t="s">
        <v>1416</v>
      </c>
      <c r="C169" s="178">
        <v>0</v>
      </c>
      <c r="D169" s="178">
        <v>0</v>
      </c>
      <c r="E169" s="181">
        <f t="shared" si="2"/>
        <v>0</v>
      </c>
    </row>
    <row r="170" spans="1:5">
      <c r="A170" s="23" t="s">
        <v>118</v>
      </c>
      <c r="B170" s="23" t="s">
        <v>1693</v>
      </c>
      <c r="C170" s="178">
        <v>2105</v>
      </c>
      <c r="D170" s="178">
        <v>0</v>
      </c>
      <c r="E170" s="181">
        <f t="shared" si="2"/>
        <v>2105</v>
      </c>
    </row>
    <row r="171" spans="1:5">
      <c r="A171" s="23" t="s">
        <v>119</v>
      </c>
      <c r="B171" s="23" t="s">
        <v>1477</v>
      </c>
      <c r="C171" s="178">
        <v>31</v>
      </c>
      <c r="D171" s="178">
        <v>0</v>
      </c>
      <c r="E171" s="181">
        <f t="shared" si="2"/>
        <v>31</v>
      </c>
    </row>
    <row r="172" spans="1:5">
      <c r="A172" s="23" t="s">
        <v>159</v>
      </c>
      <c r="B172" s="23" t="s">
        <v>1478</v>
      </c>
      <c r="C172" s="178">
        <v>0</v>
      </c>
      <c r="D172" s="178">
        <v>507</v>
      </c>
      <c r="E172" s="181">
        <f t="shared" si="2"/>
        <v>507</v>
      </c>
    </row>
    <row r="173" spans="1:5">
      <c r="A173" s="23" t="s">
        <v>163</v>
      </c>
      <c r="B173" s="23" t="s">
        <v>1694</v>
      </c>
      <c r="C173" s="178">
        <v>0</v>
      </c>
      <c r="D173" s="178">
        <v>0</v>
      </c>
      <c r="E173" s="181">
        <f t="shared" si="2"/>
        <v>0</v>
      </c>
    </row>
    <row r="174" spans="1:5">
      <c r="A174" s="23" t="s">
        <v>165</v>
      </c>
      <c r="B174" s="23" t="s">
        <v>1417</v>
      </c>
      <c r="C174" s="178">
        <v>115542</v>
      </c>
      <c r="D174" s="178">
        <v>0</v>
      </c>
      <c r="E174" s="181">
        <f t="shared" si="2"/>
        <v>115542</v>
      </c>
    </row>
    <row r="175" spans="1:5">
      <c r="A175" s="23" t="s">
        <v>167</v>
      </c>
      <c r="B175" s="23" t="s">
        <v>1418</v>
      </c>
      <c r="C175" s="178">
        <v>100076</v>
      </c>
      <c r="D175" s="178">
        <v>0</v>
      </c>
      <c r="E175" s="181">
        <f t="shared" si="2"/>
        <v>100076</v>
      </c>
    </row>
    <row r="176" spans="1:5">
      <c r="A176" s="23" t="s">
        <v>169</v>
      </c>
      <c r="B176" s="23" t="s">
        <v>1419</v>
      </c>
      <c r="C176" s="178">
        <v>3813</v>
      </c>
      <c r="D176" s="178">
        <v>0</v>
      </c>
      <c r="E176" s="181">
        <f t="shared" si="2"/>
        <v>3813</v>
      </c>
    </row>
    <row r="177" spans="1:5">
      <c r="A177" s="23" t="s">
        <v>0</v>
      </c>
      <c r="B177" s="23" t="s">
        <v>1420</v>
      </c>
      <c r="C177" s="178">
        <v>2888</v>
      </c>
      <c r="D177" s="178">
        <v>2028</v>
      </c>
      <c r="E177" s="181">
        <f t="shared" si="2"/>
        <v>4916</v>
      </c>
    </row>
    <row r="178" spans="1:5">
      <c r="A178" s="23" t="s">
        <v>2</v>
      </c>
      <c r="B178" s="23" t="s">
        <v>1421</v>
      </c>
      <c r="C178" s="178">
        <v>769765</v>
      </c>
      <c r="D178" s="178">
        <v>25735</v>
      </c>
      <c r="E178" s="181">
        <f t="shared" si="2"/>
        <v>795500</v>
      </c>
    </row>
    <row r="179" spans="1:5">
      <c r="A179" s="23" t="s">
        <v>388</v>
      </c>
      <c r="B179" s="23" t="s">
        <v>1422</v>
      </c>
      <c r="C179" s="178">
        <v>0</v>
      </c>
      <c r="D179" s="178">
        <v>0</v>
      </c>
      <c r="E179" s="181">
        <f t="shared" si="2"/>
        <v>0</v>
      </c>
    </row>
    <row r="180" spans="1:5">
      <c r="A180" s="23" t="s">
        <v>391</v>
      </c>
      <c r="B180" s="23" t="s">
        <v>1423</v>
      </c>
      <c r="C180" s="178">
        <v>2232</v>
      </c>
      <c r="D180" s="178">
        <v>0</v>
      </c>
      <c r="E180" s="181">
        <f t="shared" si="2"/>
        <v>2232</v>
      </c>
    </row>
    <row r="181" spans="1:5">
      <c r="A181" s="23" t="s">
        <v>393</v>
      </c>
      <c r="B181" s="23" t="s">
        <v>1695</v>
      </c>
      <c r="C181" s="178">
        <v>6102</v>
      </c>
      <c r="D181" s="178">
        <v>0</v>
      </c>
      <c r="E181" s="181">
        <f t="shared" si="2"/>
        <v>6102</v>
      </c>
    </row>
    <row r="182" spans="1:5">
      <c r="A182" s="23" t="s">
        <v>395</v>
      </c>
      <c r="B182" s="23" t="s">
        <v>1696</v>
      </c>
      <c r="C182" s="178">
        <v>95128</v>
      </c>
      <c r="D182" s="178">
        <v>1131</v>
      </c>
      <c r="E182" s="181">
        <f t="shared" si="2"/>
        <v>96259</v>
      </c>
    </row>
    <row r="183" spans="1:5">
      <c r="A183" s="23" t="s">
        <v>397</v>
      </c>
      <c r="B183" s="23" t="s">
        <v>1424</v>
      </c>
      <c r="C183" s="178">
        <v>36613</v>
      </c>
      <c r="D183" s="178">
        <v>2412</v>
      </c>
      <c r="E183" s="181">
        <f t="shared" si="2"/>
        <v>39025</v>
      </c>
    </row>
    <row r="184" spans="1:5">
      <c r="A184" s="23" t="s">
        <v>399</v>
      </c>
      <c r="B184" s="23" t="s">
        <v>1697</v>
      </c>
      <c r="C184" s="178">
        <v>0</v>
      </c>
      <c r="D184" s="178">
        <v>0</v>
      </c>
      <c r="E184" s="181">
        <f t="shared" si="2"/>
        <v>0</v>
      </c>
    </row>
    <row r="185" spans="1:5">
      <c r="A185" s="23" t="s">
        <v>401</v>
      </c>
      <c r="B185" s="23" t="s">
        <v>1425</v>
      </c>
      <c r="C185" s="178">
        <v>0</v>
      </c>
      <c r="D185" s="178">
        <v>2815</v>
      </c>
      <c r="E185" s="181">
        <f t="shared" si="2"/>
        <v>2815</v>
      </c>
    </row>
    <row r="186" spans="1:5">
      <c r="A186" s="23" t="s">
        <v>384</v>
      </c>
      <c r="B186" s="23" t="s">
        <v>1698</v>
      </c>
      <c r="C186" s="178">
        <v>0</v>
      </c>
      <c r="D186" s="178">
        <v>0</v>
      </c>
      <c r="E186" s="181">
        <f t="shared" si="2"/>
        <v>0</v>
      </c>
    </row>
    <row r="187" spans="1:5">
      <c r="A187" s="23" t="s">
        <v>386</v>
      </c>
      <c r="B187" s="23" t="s">
        <v>1426</v>
      </c>
      <c r="C187" s="178">
        <v>58052</v>
      </c>
      <c r="D187" s="178">
        <v>1584</v>
      </c>
      <c r="E187" s="181">
        <f t="shared" si="2"/>
        <v>59636</v>
      </c>
    </row>
    <row r="188" spans="1:5">
      <c r="A188" s="23" t="s">
        <v>936</v>
      </c>
      <c r="B188" s="23" t="s">
        <v>1699</v>
      </c>
      <c r="C188" s="178">
        <v>0</v>
      </c>
      <c r="D188" s="178">
        <v>0</v>
      </c>
      <c r="E188" s="181">
        <f t="shared" si="2"/>
        <v>0</v>
      </c>
    </row>
    <row r="189" spans="1:5">
      <c r="A189" s="23" t="s">
        <v>348</v>
      </c>
      <c r="B189" s="23" t="s">
        <v>1700</v>
      </c>
      <c r="C189" s="178">
        <v>0</v>
      </c>
      <c r="D189" s="178">
        <v>0</v>
      </c>
      <c r="E189" s="181">
        <f t="shared" si="2"/>
        <v>0</v>
      </c>
    </row>
    <row r="190" spans="1:5">
      <c r="A190" s="23" t="s">
        <v>350</v>
      </c>
      <c r="B190" s="23" t="s">
        <v>1427</v>
      </c>
      <c r="C190" s="178">
        <v>4999</v>
      </c>
      <c r="D190" s="178">
        <v>0</v>
      </c>
      <c r="E190" s="181">
        <f t="shared" si="2"/>
        <v>4999</v>
      </c>
    </row>
    <row r="191" spans="1:5">
      <c r="A191" s="23" t="s">
        <v>352</v>
      </c>
      <c r="B191" s="23" t="s">
        <v>1428</v>
      </c>
      <c r="C191" s="178">
        <v>7757</v>
      </c>
      <c r="D191" s="178">
        <v>0</v>
      </c>
      <c r="E191" s="181">
        <f t="shared" si="2"/>
        <v>7757</v>
      </c>
    </row>
    <row r="192" spans="1:5">
      <c r="A192" s="23" t="s">
        <v>354</v>
      </c>
      <c r="B192" s="23" t="s">
        <v>1701</v>
      </c>
      <c r="C192" s="178">
        <v>0</v>
      </c>
      <c r="D192" s="178">
        <v>0</v>
      </c>
      <c r="E192" s="181">
        <f t="shared" si="2"/>
        <v>0</v>
      </c>
    </row>
    <row r="193" spans="1:5">
      <c r="A193" s="23" t="s">
        <v>67</v>
      </c>
      <c r="B193" s="23" t="s">
        <v>1429</v>
      </c>
      <c r="C193" s="178">
        <v>0</v>
      </c>
      <c r="D193" s="178">
        <v>1669</v>
      </c>
      <c r="E193" s="181">
        <f t="shared" si="2"/>
        <v>1669</v>
      </c>
    </row>
    <row r="194" spans="1:5">
      <c r="A194" s="23" t="s">
        <v>243</v>
      </c>
      <c r="B194" s="23" t="s">
        <v>1479</v>
      </c>
      <c r="C194" s="178">
        <v>5370</v>
      </c>
      <c r="D194" s="178">
        <v>0</v>
      </c>
      <c r="E194" s="181">
        <f t="shared" si="2"/>
        <v>5370</v>
      </c>
    </row>
    <row r="195" spans="1:5">
      <c r="A195" s="23" t="s">
        <v>362</v>
      </c>
      <c r="B195" s="23" t="s">
        <v>1702</v>
      </c>
      <c r="C195" s="178">
        <v>0</v>
      </c>
      <c r="D195" s="178">
        <v>0</v>
      </c>
      <c r="E195" s="181">
        <f t="shared" si="2"/>
        <v>0</v>
      </c>
    </row>
    <row r="196" spans="1:5">
      <c r="A196" s="23" t="s">
        <v>935</v>
      </c>
      <c r="B196" s="23" t="s">
        <v>1703</v>
      </c>
      <c r="C196" s="178">
        <v>0</v>
      </c>
      <c r="D196" s="178">
        <v>0</v>
      </c>
      <c r="E196" s="181">
        <f t="shared" si="2"/>
        <v>0</v>
      </c>
    </row>
    <row r="197" spans="1:5">
      <c r="A197" s="23" t="s">
        <v>364</v>
      </c>
      <c r="B197" s="23" t="s">
        <v>1430</v>
      </c>
      <c r="C197" s="178">
        <v>74319</v>
      </c>
      <c r="D197" s="178">
        <v>2756</v>
      </c>
      <c r="E197" s="181">
        <f t="shared" ref="E197:E260" si="3">C197+D197</f>
        <v>77075</v>
      </c>
    </row>
    <row r="198" spans="1:5">
      <c r="A198" s="23" t="s">
        <v>961</v>
      </c>
      <c r="B198" s="23" t="s">
        <v>1704</v>
      </c>
      <c r="C198" s="178">
        <v>0</v>
      </c>
      <c r="D198" s="178">
        <v>0</v>
      </c>
      <c r="E198" s="181">
        <f t="shared" si="3"/>
        <v>0</v>
      </c>
    </row>
    <row r="199" spans="1:5">
      <c r="A199" s="23" t="s">
        <v>368</v>
      </c>
      <c r="B199" s="23" t="s">
        <v>1480</v>
      </c>
      <c r="C199" s="178">
        <v>0</v>
      </c>
      <c r="D199" s="178">
        <v>0</v>
      </c>
      <c r="E199" s="181">
        <f t="shared" si="3"/>
        <v>0</v>
      </c>
    </row>
    <row r="200" spans="1:5">
      <c r="A200" s="23" t="s">
        <v>370</v>
      </c>
      <c r="B200" s="23" t="s">
        <v>1705</v>
      </c>
      <c r="C200" s="178">
        <v>24</v>
      </c>
      <c r="D200" s="178">
        <v>0</v>
      </c>
      <c r="E200" s="181">
        <f t="shared" si="3"/>
        <v>24</v>
      </c>
    </row>
    <row r="201" spans="1:5">
      <c r="A201" s="23" t="s">
        <v>372</v>
      </c>
      <c r="B201" s="23" t="s">
        <v>1706</v>
      </c>
      <c r="C201" s="178">
        <v>0</v>
      </c>
      <c r="D201" s="178">
        <v>0</v>
      </c>
      <c r="E201" s="181">
        <f t="shared" si="3"/>
        <v>0</v>
      </c>
    </row>
    <row r="202" spans="1:5">
      <c r="A202" s="23" t="s">
        <v>374</v>
      </c>
      <c r="B202" s="23" t="s">
        <v>1431</v>
      </c>
      <c r="C202" s="178">
        <v>46296</v>
      </c>
      <c r="D202" s="178">
        <v>1479</v>
      </c>
      <c r="E202" s="181">
        <f t="shared" si="3"/>
        <v>47775</v>
      </c>
    </row>
    <row r="203" spans="1:5">
      <c r="A203" s="23" t="s">
        <v>376</v>
      </c>
      <c r="B203" s="23" t="s">
        <v>1481</v>
      </c>
      <c r="C203" s="178">
        <v>348239</v>
      </c>
      <c r="D203" s="178">
        <v>5007</v>
      </c>
      <c r="E203" s="181">
        <f t="shared" si="3"/>
        <v>353246</v>
      </c>
    </row>
    <row r="204" spans="1:5">
      <c r="A204" s="23" t="s">
        <v>378</v>
      </c>
      <c r="B204" s="23" t="s">
        <v>1707</v>
      </c>
      <c r="C204" s="178">
        <v>0</v>
      </c>
      <c r="D204" s="178">
        <v>0</v>
      </c>
      <c r="E204" s="181">
        <f t="shared" si="3"/>
        <v>0</v>
      </c>
    </row>
    <row r="205" spans="1:5">
      <c r="A205" s="23" t="s">
        <v>380</v>
      </c>
      <c r="B205" s="23" t="s">
        <v>1708</v>
      </c>
      <c r="C205" s="178">
        <v>0</v>
      </c>
      <c r="D205" s="178">
        <v>0</v>
      </c>
      <c r="E205" s="181">
        <f t="shared" si="3"/>
        <v>0</v>
      </c>
    </row>
    <row r="206" spans="1:5">
      <c r="A206" s="23" t="s">
        <v>382</v>
      </c>
      <c r="B206" s="23" t="s">
        <v>1432</v>
      </c>
      <c r="C206" s="178">
        <v>243788</v>
      </c>
      <c r="D206" s="178">
        <v>3338</v>
      </c>
      <c r="E206" s="181">
        <f t="shared" si="3"/>
        <v>247126</v>
      </c>
    </row>
    <row r="207" spans="1:5">
      <c r="A207" s="23" t="s">
        <v>270</v>
      </c>
      <c r="B207" s="23" t="s">
        <v>1433</v>
      </c>
      <c r="C207" s="178">
        <v>183047</v>
      </c>
      <c r="D207" s="178">
        <v>4679</v>
      </c>
      <c r="E207" s="181">
        <f t="shared" si="3"/>
        <v>187726</v>
      </c>
    </row>
    <row r="208" spans="1:5">
      <c r="A208" s="23" t="s">
        <v>274</v>
      </c>
      <c r="B208" s="23" t="s">
        <v>1434</v>
      </c>
      <c r="C208" s="178">
        <v>5183</v>
      </c>
      <c r="D208" s="178">
        <v>216</v>
      </c>
      <c r="E208" s="181">
        <f t="shared" si="3"/>
        <v>5399</v>
      </c>
    </row>
    <row r="209" spans="1:5">
      <c r="A209" s="23" t="s">
        <v>276</v>
      </c>
      <c r="B209" s="23" t="s">
        <v>1709</v>
      </c>
      <c r="C209" s="178">
        <v>0</v>
      </c>
      <c r="D209" s="178">
        <v>0</v>
      </c>
      <c r="E209" s="181">
        <f t="shared" si="3"/>
        <v>0</v>
      </c>
    </row>
    <row r="210" spans="1:5">
      <c r="A210" s="23" t="s">
        <v>546</v>
      </c>
      <c r="B210" s="23" t="s">
        <v>1482</v>
      </c>
      <c r="C210" s="178">
        <v>0</v>
      </c>
      <c r="D210" s="178">
        <v>0</v>
      </c>
      <c r="E210" s="181">
        <f t="shared" si="3"/>
        <v>0</v>
      </c>
    </row>
    <row r="211" spans="1:5">
      <c r="A211" s="23" t="s">
        <v>547</v>
      </c>
      <c r="B211" s="23" t="s">
        <v>1435</v>
      </c>
      <c r="C211" s="178">
        <v>5962</v>
      </c>
      <c r="D211" s="178">
        <v>512</v>
      </c>
      <c r="E211" s="181">
        <f t="shared" si="3"/>
        <v>6474</v>
      </c>
    </row>
    <row r="212" spans="1:5">
      <c r="A212" s="23" t="s">
        <v>549</v>
      </c>
      <c r="B212" s="23" t="s">
        <v>1436</v>
      </c>
      <c r="C212" s="178">
        <v>490968</v>
      </c>
      <c r="D212" s="178">
        <v>127704</v>
      </c>
      <c r="E212" s="181">
        <f t="shared" si="3"/>
        <v>618672</v>
      </c>
    </row>
    <row r="213" spans="1:5">
      <c r="A213" s="23" t="s">
        <v>551</v>
      </c>
      <c r="B213" s="23" t="s">
        <v>1437</v>
      </c>
      <c r="C213" s="178">
        <v>22256</v>
      </c>
      <c r="D213" s="178">
        <v>2203</v>
      </c>
      <c r="E213" s="181">
        <f t="shared" si="3"/>
        <v>24459</v>
      </c>
    </row>
    <row r="214" spans="1:5">
      <c r="A214" s="23" t="s">
        <v>553</v>
      </c>
      <c r="B214" s="23" t="s">
        <v>1710</v>
      </c>
      <c r="C214" s="178">
        <v>10592</v>
      </c>
      <c r="D214" s="178">
        <v>0</v>
      </c>
      <c r="E214" s="181">
        <f t="shared" si="3"/>
        <v>10592</v>
      </c>
    </row>
    <row r="215" spans="1:5">
      <c r="A215" s="23" t="s">
        <v>555</v>
      </c>
      <c r="B215" s="23" t="s">
        <v>1711</v>
      </c>
      <c r="C215" s="178">
        <v>2737</v>
      </c>
      <c r="D215" s="178">
        <v>0</v>
      </c>
      <c r="E215" s="181">
        <f t="shared" si="3"/>
        <v>2737</v>
      </c>
    </row>
    <row r="216" spans="1:5">
      <c r="A216" s="23" t="s">
        <v>557</v>
      </c>
      <c r="B216" s="23" t="s">
        <v>1438</v>
      </c>
      <c r="C216" s="178">
        <v>112</v>
      </c>
      <c r="D216" s="178">
        <v>153</v>
      </c>
      <c r="E216" s="181">
        <f t="shared" si="3"/>
        <v>265</v>
      </c>
    </row>
    <row r="217" spans="1:5">
      <c r="A217" s="23" t="s">
        <v>561</v>
      </c>
      <c r="B217" s="23" t="s">
        <v>1483</v>
      </c>
      <c r="C217" s="178">
        <v>100570</v>
      </c>
      <c r="D217" s="178">
        <v>612</v>
      </c>
      <c r="E217" s="181">
        <f t="shared" si="3"/>
        <v>101182</v>
      </c>
    </row>
    <row r="218" spans="1:5">
      <c r="A218" s="23" t="s">
        <v>563</v>
      </c>
      <c r="B218" s="23" t="s">
        <v>1439</v>
      </c>
      <c r="C218" s="178">
        <v>340669</v>
      </c>
      <c r="D218" s="178">
        <v>5244</v>
      </c>
      <c r="E218" s="181">
        <f t="shared" si="3"/>
        <v>345913</v>
      </c>
    </row>
    <row r="219" spans="1:5">
      <c r="A219" s="23" t="s">
        <v>77</v>
      </c>
      <c r="B219" s="23" t="s">
        <v>1484</v>
      </c>
      <c r="C219" s="178">
        <v>0</v>
      </c>
      <c r="D219" s="178">
        <v>1004</v>
      </c>
      <c r="E219" s="181">
        <f t="shared" si="3"/>
        <v>1004</v>
      </c>
    </row>
    <row r="220" spans="1:5">
      <c r="A220" s="23" t="s">
        <v>79</v>
      </c>
      <c r="B220" s="23" t="s">
        <v>1712</v>
      </c>
      <c r="C220" s="178">
        <v>0</v>
      </c>
      <c r="D220" s="178">
        <v>0</v>
      </c>
      <c r="E220" s="181">
        <f t="shared" si="3"/>
        <v>0</v>
      </c>
    </row>
    <row r="221" spans="1:5">
      <c r="A221" s="23" t="s">
        <v>81</v>
      </c>
      <c r="B221" s="23" t="s">
        <v>1440</v>
      </c>
      <c r="C221" s="178">
        <v>97648</v>
      </c>
      <c r="D221" s="178">
        <v>9592</v>
      </c>
      <c r="E221" s="181">
        <f t="shared" si="3"/>
        <v>107240</v>
      </c>
    </row>
    <row r="222" spans="1:5">
      <c r="A222" s="23" t="s">
        <v>83</v>
      </c>
      <c r="B222" s="23" t="s">
        <v>1713</v>
      </c>
      <c r="C222" s="178">
        <v>0</v>
      </c>
      <c r="D222" s="178">
        <v>2182</v>
      </c>
      <c r="E222" s="181">
        <f t="shared" si="3"/>
        <v>2182</v>
      </c>
    </row>
    <row r="223" spans="1:5">
      <c r="A223" s="23" t="s">
        <v>85</v>
      </c>
      <c r="B223" s="23" t="s">
        <v>1441</v>
      </c>
      <c r="C223" s="178">
        <v>6728</v>
      </c>
      <c r="D223" s="178">
        <v>0</v>
      </c>
      <c r="E223" s="181">
        <f t="shared" si="3"/>
        <v>6728</v>
      </c>
    </row>
    <row r="224" spans="1:5">
      <c r="A224" s="23" t="s">
        <v>567</v>
      </c>
      <c r="B224" s="23" t="s">
        <v>1714</v>
      </c>
      <c r="C224" s="178">
        <v>0</v>
      </c>
      <c r="D224" s="178">
        <v>0</v>
      </c>
      <c r="E224" s="181">
        <f t="shared" si="3"/>
        <v>0</v>
      </c>
    </row>
    <row r="225" spans="1:5">
      <c r="A225" s="23" t="s">
        <v>569</v>
      </c>
      <c r="B225" s="23" t="s">
        <v>1715</v>
      </c>
      <c r="C225" s="178">
        <v>0</v>
      </c>
      <c r="D225" s="178">
        <v>0</v>
      </c>
      <c r="E225" s="181">
        <f t="shared" si="3"/>
        <v>0</v>
      </c>
    </row>
    <row r="226" spans="1:5">
      <c r="A226" s="23" t="s">
        <v>571</v>
      </c>
      <c r="B226" s="23" t="s">
        <v>1716</v>
      </c>
      <c r="C226" s="178">
        <v>0</v>
      </c>
      <c r="D226" s="178">
        <v>0</v>
      </c>
      <c r="E226" s="181">
        <f t="shared" si="3"/>
        <v>0</v>
      </c>
    </row>
    <row r="227" spans="1:5">
      <c r="A227" s="23" t="s">
        <v>937</v>
      </c>
      <c r="B227" s="23" t="s">
        <v>1485</v>
      </c>
      <c r="C227" s="178">
        <v>1574</v>
      </c>
      <c r="D227" s="178">
        <v>489</v>
      </c>
      <c r="E227" s="181">
        <f t="shared" si="3"/>
        <v>2063</v>
      </c>
    </row>
    <row r="228" spans="1:5">
      <c r="A228" s="23" t="s">
        <v>573</v>
      </c>
      <c r="B228" s="23" t="s">
        <v>1717</v>
      </c>
      <c r="C228" s="178">
        <v>162828</v>
      </c>
      <c r="D228" s="178">
        <v>3788</v>
      </c>
      <c r="E228" s="181">
        <f t="shared" si="3"/>
        <v>166616</v>
      </c>
    </row>
    <row r="229" spans="1:5">
      <c r="A229" s="23" t="s">
        <v>541</v>
      </c>
      <c r="B229" s="23" t="s">
        <v>1718</v>
      </c>
      <c r="C229" s="178">
        <v>0</v>
      </c>
      <c r="D229" s="178">
        <v>0</v>
      </c>
      <c r="E229" s="181">
        <f t="shared" si="3"/>
        <v>0</v>
      </c>
    </row>
    <row r="230" spans="1:5">
      <c r="A230" s="23" t="s">
        <v>543</v>
      </c>
      <c r="B230" s="23" t="s">
        <v>1719</v>
      </c>
      <c r="C230" s="178">
        <v>0</v>
      </c>
      <c r="D230" s="178">
        <v>0</v>
      </c>
      <c r="E230" s="181">
        <f t="shared" si="3"/>
        <v>0</v>
      </c>
    </row>
    <row r="231" spans="1:5">
      <c r="A231" s="23" t="s">
        <v>57</v>
      </c>
      <c r="B231" s="23" t="s">
        <v>1442</v>
      </c>
      <c r="C231" s="178">
        <v>23400</v>
      </c>
      <c r="D231" s="178">
        <v>2206</v>
      </c>
      <c r="E231" s="181">
        <f t="shared" si="3"/>
        <v>25606</v>
      </c>
    </row>
    <row r="232" spans="1:5">
      <c r="A232" s="23" t="s">
        <v>61</v>
      </c>
      <c r="B232" s="23" t="s">
        <v>1443</v>
      </c>
      <c r="C232" s="178">
        <v>0</v>
      </c>
      <c r="D232" s="178">
        <v>925</v>
      </c>
      <c r="E232" s="181">
        <f t="shared" si="3"/>
        <v>925</v>
      </c>
    </row>
    <row r="233" spans="1:5">
      <c r="A233" s="23" t="s">
        <v>65</v>
      </c>
      <c r="B233" s="23" t="s">
        <v>1444</v>
      </c>
      <c r="C233" s="178">
        <v>5295</v>
      </c>
      <c r="D233" s="178">
        <v>1834</v>
      </c>
      <c r="E233" s="181">
        <f t="shared" si="3"/>
        <v>7129</v>
      </c>
    </row>
    <row r="234" spans="1:5">
      <c r="A234" s="23" t="s">
        <v>66</v>
      </c>
      <c r="B234" s="23" t="s">
        <v>1720</v>
      </c>
      <c r="C234" s="178">
        <v>0</v>
      </c>
      <c r="D234" s="178">
        <v>0</v>
      </c>
      <c r="E234" s="181">
        <f t="shared" si="3"/>
        <v>0</v>
      </c>
    </row>
    <row r="235" spans="1:5">
      <c r="A235" s="23" t="s">
        <v>7</v>
      </c>
      <c r="B235" s="23" t="s">
        <v>1721</v>
      </c>
      <c r="C235" s="178">
        <v>0</v>
      </c>
      <c r="D235" s="178">
        <v>5074</v>
      </c>
      <c r="E235" s="181">
        <f t="shared" si="3"/>
        <v>5074</v>
      </c>
    </row>
    <row r="236" spans="1:5">
      <c r="A236" s="23" t="s">
        <v>954</v>
      </c>
      <c r="B236" s="23" t="s">
        <v>1722</v>
      </c>
      <c r="C236" s="178">
        <v>0</v>
      </c>
      <c r="D236" s="178">
        <v>0</v>
      </c>
      <c r="E236" s="181">
        <f t="shared" si="3"/>
        <v>0</v>
      </c>
    </row>
    <row r="237" spans="1:5">
      <c r="A237" s="23" t="s">
        <v>934</v>
      </c>
      <c r="B237" s="23" t="s">
        <v>1723</v>
      </c>
      <c r="C237" s="178">
        <v>0</v>
      </c>
      <c r="D237" s="178">
        <v>0</v>
      </c>
      <c r="E237" s="181">
        <f t="shared" si="3"/>
        <v>0</v>
      </c>
    </row>
    <row r="238" spans="1:5">
      <c r="A238" s="23" t="s">
        <v>933</v>
      </c>
      <c r="B238" s="23" t="s">
        <v>1724</v>
      </c>
      <c r="C238" s="178">
        <v>0</v>
      </c>
      <c r="D238" s="178">
        <v>0</v>
      </c>
      <c r="E238" s="181">
        <f t="shared" si="3"/>
        <v>0</v>
      </c>
    </row>
    <row r="239" spans="1:5">
      <c r="A239" s="23" t="s">
        <v>9</v>
      </c>
      <c r="B239" s="23" t="s">
        <v>1725</v>
      </c>
      <c r="C239" s="178">
        <v>0</v>
      </c>
      <c r="D239" s="178">
        <v>0</v>
      </c>
      <c r="E239" s="181">
        <f t="shared" si="3"/>
        <v>0</v>
      </c>
    </row>
    <row r="240" spans="1:5">
      <c r="A240" s="23" t="s">
        <v>246</v>
      </c>
      <c r="B240" s="23" t="s">
        <v>1445</v>
      </c>
      <c r="C240" s="178">
        <v>0</v>
      </c>
      <c r="D240" s="178">
        <v>283</v>
      </c>
      <c r="E240" s="181">
        <f t="shared" si="3"/>
        <v>283</v>
      </c>
    </row>
    <row r="241" spans="1:5">
      <c r="A241" s="23" t="s">
        <v>248</v>
      </c>
      <c r="B241" s="23" t="s">
        <v>1486</v>
      </c>
      <c r="C241" s="178">
        <v>0</v>
      </c>
      <c r="D241" s="178">
        <v>0</v>
      </c>
      <c r="E241" s="181">
        <f t="shared" si="3"/>
        <v>0</v>
      </c>
    </row>
    <row r="242" spans="1:5">
      <c r="A242" s="23" t="s">
        <v>881</v>
      </c>
      <c r="B242" s="23" t="s">
        <v>1446</v>
      </c>
      <c r="C242" s="178">
        <v>48499</v>
      </c>
      <c r="D242" s="178">
        <v>0</v>
      </c>
      <c r="E242" s="181">
        <f t="shared" si="3"/>
        <v>48499</v>
      </c>
    </row>
    <row r="243" spans="1:5">
      <c r="A243" s="23" t="s">
        <v>250</v>
      </c>
      <c r="B243" s="23" t="s">
        <v>1726</v>
      </c>
      <c r="C243" s="178">
        <v>101211</v>
      </c>
      <c r="D243" s="178">
        <v>61234</v>
      </c>
      <c r="E243" s="181">
        <f t="shared" si="3"/>
        <v>162445</v>
      </c>
    </row>
    <row r="244" spans="1:5">
      <c r="A244" s="23" t="s">
        <v>252</v>
      </c>
      <c r="B244" s="23" t="s">
        <v>1487</v>
      </c>
      <c r="C244" s="178">
        <v>85</v>
      </c>
      <c r="D244" s="178">
        <v>2029</v>
      </c>
      <c r="E244" s="181">
        <f t="shared" si="3"/>
        <v>2114</v>
      </c>
    </row>
    <row r="245" spans="1:5">
      <c r="A245" s="23" t="s">
        <v>254</v>
      </c>
      <c r="B245" s="23" t="s">
        <v>1727</v>
      </c>
      <c r="C245" s="178">
        <v>0</v>
      </c>
      <c r="D245" s="178">
        <v>0</v>
      </c>
      <c r="E245" s="181">
        <f t="shared" si="3"/>
        <v>0</v>
      </c>
    </row>
    <row r="246" spans="1:5">
      <c r="A246" s="23" t="s">
        <v>256</v>
      </c>
      <c r="B246" s="23" t="s">
        <v>1728</v>
      </c>
      <c r="C246" s="178">
        <v>0</v>
      </c>
      <c r="D246" s="178">
        <v>0</v>
      </c>
      <c r="E246" s="181">
        <f t="shared" si="3"/>
        <v>0</v>
      </c>
    </row>
    <row r="247" spans="1:5">
      <c r="A247" s="23" t="s">
        <v>258</v>
      </c>
      <c r="B247" s="23" t="s">
        <v>1496</v>
      </c>
      <c r="C247" s="178">
        <v>0</v>
      </c>
      <c r="D247" s="178">
        <v>4973</v>
      </c>
      <c r="E247" s="181">
        <f t="shared" si="3"/>
        <v>4973</v>
      </c>
    </row>
    <row r="248" spans="1:5">
      <c r="A248" s="23" t="s">
        <v>260</v>
      </c>
      <c r="B248" s="23" t="s">
        <v>1729</v>
      </c>
      <c r="C248" s="178">
        <v>0</v>
      </c>
      <c r="D248" s="178">
        <v>0</v>
      </c>
      <c r="E248" s="181">
        <f t="shared" si="3"/>
        <v>0</v>
      </c>
    </row>
    <row r="249" spans="1:5">
      <c r="A249" s="23" t="s">
        <v>262</v>
      </c>
      <c r="B249" s="23" t="s">
        <v>1447</v>
      </c>
      <c r="C249" s="178">
        <v>4705</v>
      </c>
      <c r="D249" s="178">
        <v>0</v>
      </c>
      <c r="E249" s="181">
        <f t="shared" si="3"/>
        <v>4705</v>
      </c>
    </row>
    <row r="250" spans="1:5">
      <c r="A250" s="23" t="s">
        <v>264</v>
      </c>
      <c r="B250" s="23" t="s">
        <v>1448</v>
      </c>
      <c r="C250" s="178">
        <v>16702</v>
      </c>
      <c r="D250" s="178">
        <v>426</v>
      </c>
      <c r="E250" s="181">
        <f t="shared" si="3"/>
        <v>17128</v>
      </c>
    </row>
    <row r="251" spans="1:5">
      <c r="A251" s="23" t="s">
        <v>266</v>
      </c>
      <c r="B251" s="23" t="s">
        <v>1730</v>
      </c>
      <c r="C251" s="178">
        <v>154411</v>
      </c>
      <c r="D251" s="178">
        <v>0</v>
      </c>
      <c r="E251" s="181">
        <f t="shared" si="3"/>
        <v>154411</v>
      </c>
    </row>
    <row r="252" spans="1:5">
      <c r="A252" s="23" t="s">
        <v>268</v>
      </c>
      <c r="B252" s="23" t="s">
        <v>1449</v>
      </c>
      <c r="C252" s="178">
        <v>0</v>
      </c>
      <c r="D252" s="178">
        <v>0</v>
      </c>
      <c r="E252" s="181">
        <f t="shared" si="3"/>
        <v>0</v>
      </c>
    </row>
    <row r="253" spans="1:5">
      <c r="A253" s="23" t="s">
        <v>566</v>
      </c>
      <c r="B253" s="23" t="s">
        <v>1488</v>
      </c>
      <c r="C253" s="178">
        <v>0</v>
      </c>
      <c r="D253" s="178">
        <v>342</v>
      </c>
      <c r="E253" s="181">
        <f t="shared" si="3"/>
        <v>342</v>
      </c>
    </row>
    <row r="254" spans="1:5">
      <c r="A254" s="23" t="s">
        <v>189</v>
      </c>
      <c r="B254" s="23" t="s">
        <v>1731</v>
      </c>
      <c r="C254" s="178">
        <v>0</v>
      </c>
      <c r="D254" s="178">
        <v>2770</v>
      </c>
      <c r="E254" s="181">
        <f t="shared" si="3"/>
        <v>2770</v>
      </c>
    </row>
    <row r="255" spans="1:5">
      <c r="A255" s="23" t="s">
        <v>191</v>
      </c>
      <c r="B255" s="23" t="s">
        <v>1732</v>
      </c>
      <c r="C255" s="178">
        <v>34711</v>
      </c>
      <c r="D255" s="178">
        <v>7662</v>
      </c>
      <c r="E255" s="181">
        <f t="shared" si="3"/>
        <v>42373</v>
      </c>
    </row>
    <row r="256" spans="1:5">
      <c r="A256" s="23" t="s">
        <v>193</v>
      </c>
      <c r="B256" s="23" t="s">
        <v>1733</v>
      </c>
      <c r="C256" s="178">
        <v>0</v>
      </c>
      <c r="D256" s="178">
        <v>0</v>
      </c>
      <c r="E256" s="181">
        <f t="shared" si="3"/>
        <v>0</v>
      </c>
    </row>
    <row r="257" spans="1:5">
      <c r="A257" s="23" t="s">
        <v>278</v>
      </c>
      <c r="B257" s="23" t="s">
        <v>1450</v>
      </c>
      <c r="C257" s="178">
        <v>669</v>
      </c>
      <c r="D257" s="178">
        <v>0</v>
      </c>
      <c r="E257" s="181">
        <f t="shared" si="3"/>
        <v>669</v>
      </c>
    </row>
    <row r="258" spans="1:5">
      <c r="A258" s="23" t="s">
        <v>280</v>
      </c>
      <c r="B258" s="23" t="s">
        <v>1734</v>
      </c>
      <c r="C258" s="178">
        <v>0</v>
      </c>
      <c r="D258" s="178">
        <v>0</v>
      </c>
      <c r="E258" s="181">
        <f t="shared" si="3"/>
        <v>0</v>
      </c>
    </row>
    <row r="259" spans="1:5">
      <c r="A259" s="23" t="s">
        <v>501</v>
      </c>
      <c r="B259" s="23" t="s">
        <v>1735</v>
      </c>
      <c r="C259" s="178">
        <v>0</v>
      </c>
      <c r="D259" s="178">
        <v>0</v>
      </c>
      <c r="E259" s="181">
        <f t="shared" si="3"/>
        <v>0</v>
      </c>
    </row>
    <row r="260" spans="1:5">
      <c r="A260" s="23" t="s">
        <v>505</v>
      </c>
      <c r="B260" s="23" t="s">
        <v>1736</v>
      </c>
      <c r="C260" s="178">
        <v>116206</v>
      </c>
      <c r="D260" s="178">
        <v>249</v>
      </c>
      <c r="E260" s="181">
        <f t="shared" si="3"/>
        <v>116455</v>
      </c>
    </row>
    <row r="261" spans="1:5">
      <c r="A261" s="23" t="s">
        <v>507</v>
      </c>
      <c r="B261" s="23" t="s">
        <v>1451</v>
      </c>
      <c r="C261" s="178">
        <v>0</v>
      </c>
      <c r="D261" s="178">
        <v>0</v>
      </c>
      <c r="E261" s="181">
        <f t="shared" ref="E261:E283" si="4">C261+D261</f>
        <v>0</v>
      </c>
    </row>
    <row r="262" spans="1:5">
      <c r="A262" s="23" t="s">
        <v>509</v>
      </c>
      <c r="B262" s="23" t="s">
        <v>1737</v>
      </c>
      <c r="C262" s="178">
        <v>14624</v>
      </c>
      <c r="D262" s="178">
        <v>55</v>
      </c>
      <c r="E262" s="181">
        <f t="shared" si="4"/>
        <v>14679</v>
      </c>
    </row>
    <row r="263" spans="1:5">
      <c r="A263" s="23" t="s">
        <v>511</v>
      </c>
      <c r="B263" s="23" t="s">
        <v>1452</v>
      </c>
      <c r="C263" s="178">
        <v>215692</v>
      </c>
      <c r="D263" s="178">
        <v>13460</v>
      </c>
      <c r="E263" s="181">
        <f t="shared" si="4"/>
        <v>229152</v>
      </c>
    </row>
    <row r="264" spans="1:5">
      <c r="A264" s="23" t="s">
        <v>32</v>
      </c>
      <c r="B264" s="23" t="s">
        <v>1453</v>
      </c>
      <c r="C264" s="178">
        <v>18746</v>
      </c>
      <c r="D264" s="178">
        <v>5629</v>
      </c>
      <c r="E264" s="181">
        <f t="shared" si="4"/>
        <v>24375</v>
      </c>
    </row>
    <row r="265" spans="1:5">
      <c r="A265" s="23" t="s">
        <v>837</v>
      </c>
      <c r="B265" s="23" t="s">
        <v>1454</v>
      </c>
      <c r="C265" s="178">
        <v>106263</v>
      </c>
      <c r="D265" s="178">
        <v>1021</v>
      </c>
      <c r="E265" s="181">
        <f t="shared" si="4"/>
        <v>107284</v>
      </c>
    </row>
    <row r="266" spans="1:5">
      <c r="A266" s="23" t="s">
        <v>34</v>
      </c>
      <c r="B266" s="23" t="s">
        <v>1738</v>
      </c>
      <c r="C266" s="178">
        <v>0</v>
      </c>
      <c r="D266" s="178">
        <v>0</v>
      </c>
      <c r="E266" s="181">
        <f t="shared" si="4"/>
        <v>0</v>
      </c>
    </row>
    <row r="267" spans="1:5">
      <c r="A267" s="23" t="s">
        <v>36</v>
      </c>
      <c r="B267" s="23" t="s">
        <v>1455</v>
      </c>
      <c r="C267" s="178">
        <v>13173</v>
      </c>
      <c r="D267" s="178">
        <v>0</v>
      </c>
      <c r="E267" s="181">
        <f t="shared" si="4"/>
        <v>13173</v>
      </c>
    </row>
    <row r="268" spans="1:5">
      <c r="A268" s="23" t="s">
        <v>522</v>
      </c>
      <c r="B268" s="23" t="s">
        <v>1739</v>
      </c>
      <c r="C268" s="178">
        <v>0</v>
      </c>
      <c r="D268" s="178">
        <v>0</v>
      </c>
      <c r="E268" s="181">
        <f t="shared" si="4"/>
        <v>0</v>
      </c>
    </row>
    <row r="269" spans="1:5">
      <c r="A269" s="23" t="s">
        <v>485</v>
      </c>
      <c r="B269" s="23" t="s">
        <v>1740</v>
      </c>
      <c r="C269" s="178">
        <v>5979</v>
      </c>
      <c r="D269" s="178">
        <v>0</v>
      </c>
      <c r="E269" s="181">
        <f t="shared" si="4"/>
        <v>5979</v>
      </c>
    </row>
    <row r="270" spans="1:5">
      <c r="A270" s="23" t="s">
        <v>298</v>
      </c>
      <c r="B270" s="23" t="s">
        <v>1456</v>
      </c>
      <c r="C270" s="178">
        <v>9972</v>
      </c>
      <c r="D270" s="178">
        <v>7</v>
      </c>
      <c r="E270" s="181">
        <f t="shared" si="4"/>
        <v>9979</v>
      </c>
    </row>
    <row r="271" spans="1:5">
      <c r="A271" s="23" t="s">
        <v>299</v>
      </c>
      <c r="B271" s="23" t="s">
        <v>1497</v>
      </c>
      <c r="C271" s="178">
        <v>0</v>
      </c>
      <c r="D271" s="178">
        <v>7784</v>
      </c>
      <c r="E271" s="181">
        <f t="shared" si="4"/>
        <v>7784</v>
      </c>
    </row>
    <row r="272" spans="1:5">
      <c r="A272" s="23" t="s">
        <v>300</v>
      </c>
      <c r="B272" s="23" t="s">
        <v>1457</v>
      </c>
      <c r="C272" s="178">
        <v>26478</v>
      </c>
      <c r="D272" s="178">
        <v>437</v>
      </c>
      <c r="E272" s="181">
        <f t="shared" si="4"/>
        <v>26915</v>
      </c>
    </row>
    <row r="273" spans="1:5">
      <c r="A273" s="23" t="s">
        <v>302</v>
      </c>
      <c r="B273" s="23" t="s">
        <v>1741</v>
      </c>
      <c r="C273" s="178">
        <v>0</v>
      </c>
      <c r="D273" s="178">
        <v>0</v>
      </c>
      <c r="E273" s="181">
        <f t="shared" si="4"/>
        <v>0</v>
      </c>
    </row>
    <row r="274" spans="1:5">
      <c r="A274" s="23" t="s">
        <v>306</v>
      </c>
      <c r="B274" s="23" t="s">
        <v>1458</v>
      </c>
      <c r="C274" s="178">
        <v>3461</v>
      </c>
      <c r="D274" s="178">
        <v>566</v>
      </c>
      <c r="E274" s="181">
        <f t="shared" si="4"/>
        <v>4027</v>
      </c>
    </row>
    <row r="275" spans="1:5">
      <c r="A275" s="23" t="s">
        <v>308</v>
      </c>
      <c r="B275" s="23" t="s">
        <v>1459</v>
      </c>
      <c r="C275" s="178">
        <v>31340</v>
      </c>
      <c r="D275" s="178">
        <v>0</v>
      </c>
      <c r="E275" s="181">
        <f t="shared" si="4"/>
        <v>31340</v>
      </c>
    </row>
    <row r="276" spans="1:5">
      <c r="A276" s="23" t="s">
        <v>310</v>
      </c>
      <c r="B276" s="23" t="s">
        <v>1460</v>
      </c>
      <c r="C276" s="178">
        <v>0</v>
      </c>
      <c r="D276" s="178">
        <v>0</v>
      </c>
      <c r="E276" s="181">
        <f t="shared" si="4"/>
        <v>0</v>
      </c>
    </row>
    <row r="277" spans="1:5">
      <c r="A277" s="23" t="s">
        <v>312</v>
      </c>
      <c r="B277" s="23" t="s">
        <v>1461</v>
      </c>
      <c r="C277" s="178">
        <v>122258</v>
      </c>
      <c r="D277" s="178">
        <v>9621</v>
      </c>
      <c r="E277" s="181">
        <f t="shared" si="4"/>
        <v>131879</v>
      </c>
    </row>
    <row r="278" spans="1:5">
      <c r="A278" s="23" t="s">
        <v>173</v>
      </c>
      <c r="B278" s="23" t="s">
        <v>1498</v>
      </c>
      <c r="C278" s="178">
        <v>1</v>
      </c>
      <c r="D278" s="178">
        <v>3003</v>
      </c>
      <c r="E278" s="181">
        <f t="shared" si="4"/>
        <v>3004</v>
      </c>
    </row>
    <row r="279" spans="1:5">
      <c r="A279" s="23" t="s">
        <v>177</v>
      </c>
      <c r="B279" s="23" t="s">
        <v>1742</v>
      </c>
      <c r="C279" s="178">
        <v>0</v>
      </c>
      <c r="D279" s="178">
        <v>0</v>
      </c>
      <c r="E279" s="181">
        <f t="shared" si="4"/>
        <v>0</v>
      </c>
    </row>
    <row r="280" spans="1:5">
      <c r="A280" s="23" t="s">
        <v>179</v>
      </c>
      <c r="B280" s="23" t="s">
        <v>1462</v>
      </c>
      <c r="C280" s="178">
        <v>0</v>
      </c>
      <c r="D280" s="178">
        <v>40071</v>
      </c>
      <c r="E280" s="181">
        <f t="shared" si="4"/>
        <v>40071</v>
      </c>
    </row>
    <row r="281" spans="1:5">
      <c r="A281" s="23" t="s">
        <v>181</v>
      </c>
      <c r="B281" s="23" t="s">
        <v>1743</v>
      </c>
      <c r="C281" s="178">
        <v>0</v>
      </c>
      <c r="D281" s="178">
        <v>0</v>
      </c>
      <c r="E281" s="181">
        <f t="shared" si="4"/>
        <v>0</v>
      </c>
    </row>
    <row r="282" spans="1:5">
      <c r="A282" s="23" t="s">
        <v>407</v>
      </c>
      <c r="B282" s="23" t="s">
        <v>1463</v>
      </c>
      <c r="C282" s="180">
        <v>0</v>
      </c>
      <c r="D282" s="180">
        <v>0</v>
      </c>
      <c r="E282" s="181">
        <f t="shared" si="4"/>
        <v>0</v>
      </c>
    </row>
    <row r="283" spans="1:5">
      <c r="A283" s="23"/>
      <c r="B283" s="23"/>
      <c r="C283" s="177">
        <v>9202863</v>
      </c>
      <c r="D283" s="177">
        <v>728436</v>
      </c>
      <c r="E283" s="181">
        <f t="shared" si="4"/>
        <v>9931299</v>
      </c>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2060"/>
    <pageSetUpPr fitToPage="1"/>
  </sheetPr>
  <dimension ref="A1:K64"/>
  <sheetViews>
    <sheetView tabSelected="1" zoomScale="60" zoomScaleNormal="60" workbookViewId="0">
      <selection activeCell="B6" sqref="B6"/>
    </sheetView>
  </sheetViews>
  <sheetFormatPr defaultColWidth="8.85546875" defaultRowHeight="17.25"/>
  <cols>
    <col min="1" max="1" width="5.7109375" style="47" customWidth="1"/>
    <col min="2" max="2" width="90.85546875" style="51" customWidth="1"/>
    <col min="3" max="3" width="9" style="97" hidden="1" customWidth="1"/>
    <col min="4" max="5" width="26.7109375" style="51" customWidth="1"/>
    <col min="6" max="6" width="9.85546875" style="5" hidden="1" customWidth="1"/>
    <col min="7" max="7" width="15.42578125" style="22" customWidth="1"/>
    <col min="8" max="8" width="18.5703125" style="33" customWidth="1"/>
    <col min="9" max="9" width="38.5703125" style="5" customWidth="1"/>
    <col min="10" max="10" width="15.42578125" style="5" bestFit="1" customWidth="1"/>
    <col min="11" max="16384" width="8.85546875" style="5"/>
  </cols>
  <sheetData>
    <row r="1" spans="1:8" ht="21" customHeight="1">
      <c r="A1" s="266" t="s">
        <v>878</v>
      </c>
      <c r="B1" s="266"/>
      <c r="C1" s="266"/>
      <c r="D1" s="266"/>
      <c r="E1" s="266"/>
    </row>
    <row r="2" spans="1:8" ht="6.75" customHeight="1">
      <c r="B2" s="48"/>
      <c r="C2" s="49"/>
      <c r="D2" s="49"/>
      <c r="E2" s="49"/>
    </row>
    <row r="3" spans="1:8" ht="20.25">
      <c r="A3" s="50" t="s">
        <v>1745</v>
      </c>
      <c r="C3" s="52"/>
      <c r="D3" s="52"/>
      <c r="E3" s="52"/>
    </row>
    <row r="4" spans="1:8" ht="120" customHeight="1">
      <c r="A4" s="267" t="s">
        <v>1750</v>
      </c>
      <c r="B4" s="267"/>
      <c r="C4" s="267"/>
      <c r="D4" s="267"/>
      <c r="E4" s="267"/>
    </row>
    <row r="5" spans="1:8" ht="23.25">
      <c r="A5" s="268" t="str">
        <f>IF(ISERROR(VLOOKUP(B6,'LEA List'!$A$2:$C$321,3,FALSE)=TRUE)," ",(VLOOKUP(B6,'LEA List'!$A$2:$C$321,3,FALSE)))</f>
        <v xml:space="preserve"> </v>
      </c>
      <c r="B5" s="269"/>
      <c r="C5" s="269"/>
      <c r="D5" s="269"/>
      <c r="E5" s="269"/>
      <c r="H5" s="34"/>
    </row>
    <row r="6" spans="1:8" s="8" customFormat="1" ht="62.25" customHeight="1">
      <c r="A6" s="53" t="s">
        <v>389</v>
      </c>
      <c r="B6" s="54"/>
      <c r="C6" s="55"/>
      <c r="D6" s="56" t="s">
        <v>1751</v>
      </c>
      <c r="E6" s="56" t="s">
        <v>1752</v>
      </c>
      <c r="F6" s="7"/>
      <c r="G6" s="24"/>
      <c r="H6" s="35"/>
    </row>
    <row r="7" spans="1:8" s="6" customFormat="1" ht="20.25">
      <c r="A7" s="60">
        <v>1</v>
      </c>
      <c r="B7" s="61" t="s">
        <v>1530</v>
      </c>
      <c r="C7" s="62"/>
      <c r="D7" s="63">
        <f>IFERROR(VLOOKUP(B6,'21-22 F-196 Expenditures'!$A$1:$G$314,3,0),0)</f>
        <v>0</v>
      </c>
      <c r="E7" s="63">
        <f>IFERROR(VLOOKUP($B$6,'22-23 F195 Expenditures'!$A$1:$F$308,2,0),0)</f>
        <v>0</v>
      </c>
      <c r="F7" s="10"/>
      <c r="G7" s="29"/>
      <c r="H7" s="36"/>
    </row>
    <row r="8" spans="1:8" s="6" customFormat="1" ht="20.25">
      <c r="A8" s="60">
        <v>2</v>
      </c>
      <c r="B8" s="61" t="s">
        <v>1531</v>
      </c>
      <c r="C8" s="62"/>
      <c r="D8" s="63">
        <f>IFERROR(VLOOKUP(B6,'21-22 F-196 Expenditures'!$A$1:$G$314,4,0),0)</f>
        <v>0</v>
      </c>
      <c r="E8" s="63">
        <f>IFERROR(VLOOKUP($B$6,'22-23 F195 Expenditures'!$A$1:$F$308,3,0),0)</f>
        <v>0</v>
      </c>
      <c r="F8" s="10"/>
      <c r="G8" s="29"/>
      <c r="H8" s="36"/>
    </row>
    <row r="9" spans="1:8" s="6" customFormat="1" ht="20.25">
      <c r="A9" s="60">
        <v>3</v>
      </c>
      <c r="B9" s="61" t="s">
        <v>1532</v>
      </c>
      <c r="C9" s="64"/>
      <c r="D9" s="63">
        <f>IFERROR(VLOOKUP(B6,'21-22 F-196 Expenditures'!$A$1:$G$314,5,0),0)</f>
        <v>0</v>
      </c>
      <c r="E9" s="63">
        <f>IFERROR(VLOOKUP($B$6,'22-23 F195 Expenditures'!$A$1:$F$308,4,0),0)</f>
        <v>0</v>
      </c>
      <c r="F9" s="10"/>
      <c r="G9" s="29"/>
      <c r="H9" s="36"/>
    </row>
    <row r="10" spans="1:8" s="6" customFormat="1" ht="20.25">
      <c r="A10" s="60">
        <v>4</v>
      </c>
      <c r="B10" s="61" t="s">
        <v>1533</v>
      </c>
      <c r="C10" s="64"/>
      <c r="D10" s="63">
        <f>IFERROR(VLOOKUP(B6,'21-22 F-196 Expenditures'!$A$1:$G$314,6,0),0)</f>
        <v>0</v>
      </c>
      <c r="E10" s="63">
        <f>IFERROR(VLOOKUP($B$6,'22-23 F195 Expenditures'!$A$1:$F$308,5,0),0)</f>
        <v>0</v>
      </c>
      <c r="F10" s="10"/>
      <c r="G10" s="29"/>
      <c r="H10" s="36"/>
    </row>
    <row r="11" spans="1:8" s="6" customFormat="1" ht="20.25">
      <c r="A11" s="60">
        <v>5</v>
      </c>
      <c r="B11" s="61" t="s">
        <v>1534</v>
      </c>
      <c r="C11" s="64"/>
      <c r="D11" s="63">
        <f>IFERROR(VLOOKUP(B6,'21-22 F-196 Expenditures'!$A$1:$G$314,7,0),0)</f>
        <v>0</v>
      </c>
      <c r="E11" s="63">
        <f>IFERROR(VLOOKUP($B$6,'22-23 F195 Expenditures'!$A$1:$F$308,6,0),0)</f>
        <v>0</v>
      </c>
      <c r="F11" s="10"/>
      <c r="G11" s="29"/>
      <c r="H11" s="36"/>
    </row>
    <row r="12" spans="1:8" s="6" customFormat="1" ht="20.25">
      <c r="A12" s="60">
        <v>6</v>
      </c>
      <c r="B12" s="61" t="s">
        <v>1535</v>
      </c>
      <c r="C12" s="63"/>
      <c r="D12" s="63">
        <f>D7+D8+D9+D10+D11</f>
        <v>0</v>
      </c>
      <c r="E12" s="63">
        <f>E7+E8+E9+E10+E11</f>
        <v>0</v>
      </c>
      <c r="F12" s="2"/>
      <c r="G12" s="25"/>
      <c r="H12" s="25"/>
    </row>
    <row r="13" spans="1:8" s="6" customFormat="1" ht="20.25">
      <c r="A13" s="60">
        <v>7</v>
      </c>
      <c r="B13" s="171" t="s">
        <v>1593</v>
      </c>
      <c r="C13" s="65"/>
      <c r="D13" s="63">
        <f>IFERROR(VLOOKUP(B6,'21-22 Supplemental Contracts'!$A$2:$H$320,8,0),0)</f>
        <v>0</v>
      </c>
      <c r="E13" s="63">
        <f>IFERROR(VLOOKUP(B6,'22-23 Supplemental Contracts'!$A$2:$F$319,6,0),0)</f>
        <v>0</v>
      </c>
      <c r="F13" s="10"/>
      <c r="G13" s="25"/>
      <c r="H13" s="43"/>
    </row>
    <row r="14" spans="1:8" s="6" customFormat="1" ht="20.25">
      <c r="A14" s="60">
        <v>8</v>
      </c>
      <c r="B14" s="171" t="s">
        <v>1597</v>
      </c>
      <c r="C14" s="62"/>
      <c r="D14" s="66"/>
      <c r="E14" s="66"/>
      <c r="F14" s="10"/>
      <c r="G14" s="25"/>
      <c r="H14" s="36"/>
    </row>
    <row r="15" spans="1:8" s="6" customFormat="1" ht="20.25">
      <c r="A15" s="60">
        <v>9</v>
      </c>
      <c r="B15" s="171" t="s">
        <v>1598</v>
      </c>
      <c r="C15" s="62"/>
      <c r="D15" s="63">
        <f>IFERROR(VLOOKUP(B6,'21-22 CCEIS Set Aside'!$A$1:$E$13,5,0),0)</f>
        <v>0</v>
      </c>
      <c r="E15" s="63">
        <f>IFERROR(VLOOKUP(B6,'22-23 CCEIS Set Aside'!$A$2:$D$12,4,0),0)</f>
        <v>0</v>
      </c>
      <c r="F15" s="10"/>
      <c r="G15" s="25"/>
      <c r="H15" s="36"/>
    </row>
    <row r="16" spans="1:8" s="6" customFormat="1" ht="20.25">
      <c r="A16" s="60">
        <v>10</v>
      </c>
      <c r="B16" s="171" t="s">
        <v>1599</v>
      </c>
      <c r="C16" s="67">
        <f>IFERROR(VLOOKUP($B$6,Indirects!$A$5:$C$326,3,0),0)</f>
        <v>0</v>
      </c>
      <c r="D16" s="68">
        <f>D12*(C16+0.01)</f>
        <v>0</v>
      </c>
      <c r="E16" s="68">
        <f>E12*(F16+0.01)</f>
        <v>0</v>
      </c>
      <c r="F16" s="12">
        <f>IFERROR(VLOOKUP($B$6,Indirects!$A$5:$D$326,4,0),0)</f>
        <v>0</v>
      </c>
      <c r="G16" s="25"/>
      <c r="H16" s="36"/>
    </row>
    <row r="17" spans="1:10" s="6" customFormat="1" ht="20.25">
      <c r="A17" s="60">
        <v>11</v>
      </c>
      <c r="B17" s="61" t="s">
        <v>1538</v>
      </c>
      <c r="C17" s="69"/>
      <c r="D17" s="68">
        <f>D12-D13-D14+D16</f>
        <v>0</v>
      </c>
      <c r="E17" s="68">
        <f>E12-E13-E14-E15+E16</f>
        <v>0</v>
      </c>
      <c r="F17" s="10"/>
      <c r="G17" s="25"/>
      <c r="H17" s="36"/>
    </row>
    <row r="18" spans="1:10" s="6" customFormat="1" ht="19.5" customHeight="1">
      <c r="A18" s="60">
        <v>12</v>
      </c>
      <c r="B18" s="171" t="s">
        <v>1600</v>
      </c>
      <c r="C18" s="62"/>
      <c r="D18" s="66"/>
      <c r="E18" s="66"/>
      <c r="F18" s="10"/>
      <c r="G18" s="25"/>
      <c r="H18" s="36"/>
    </row>
    <row r="19" spans="1:10" s="6" customFormat="1" ht="20.25">
      <c r="A19" s="60">
        <v>13</v>
      </c>
      <c r="B19" s="61" t="s">
        <v>1542</v>
      </c>
      <c r="C19" s="69"/>
      <c r="D19" s="70">
        <f>D17-D18</f>
        <v>0</v>
      </c>
      <c r="E19" s="70">
        <f>E17-E18</f>
        <v>0</v>
      </c>
      <c r="F19" s="10"/>
      <c r="G19" s="25"/>
      <c r="H19" s="36"/>
    </row>
    <row r="20" spans="1:10" ht="40.5">
      <c r="A20" s="57"/>
      <c r="B20" s="58" t="s">
        <v>838</v>
      </c>
      <c r="C20" s="59"/>
      <c r="D20" s="71" t="s">
        <v>897</v>
      </c>
      <c r="E20" s="72" t="s">
        <v>875</v>
      </c>
      <c r="F20" s="3"/>
      <c r="G20" s="25"/>
      <c r="H20" s="36"/>
    </row>
    <row r="21" spans="1:10" s="6" customFormat="1" ht="20.25">
      <c r="A21" s="60">
        <v>14</v>
      </c>
      <c r="B21" s="61" t="s">
        <v>877</v>
      </c>
      <c r="C21" s="73"/>
      <c r="D21" s="117">
        <f>IFERROR(VLOOKUP(B6,'21-22 Enrollement'!$A$2:$F$296,6,0),0)</f>
        <v>0</v>
      </c>
      <c r="E21" s="117">
        <f>IFERROR(VLOOKUP(B6,'22-23 Enrollment'!$A$2:$F$295,6,0),0)</f>
        <v>0</v>
      </c>
      <c r="F21" s="10"/>
      <c r="G21" s="25"/>
      <c r="H21" s="25"/>
    </row>
    <row r="22" spans="1:10" s="6" customFormat="1" ht="20.25">
      <c r="A22" s="60">
        <v>15</v>
      </c>
      <c r="B22" s="171" t="s">
        <v>1594</v>
      </c>
      <c r="C22" s="62"/>
      <c r="D22" s="75"/>
      <c r="E22" s="75"/>
      <c r="F22" s="10"/>
      <c r="G22" s="25"/>
      <c r="H22" s="36"/>
    </row>
    <row r="23" spans="1:10" s="6" customFormat="1" ht="20.25">
      <c r="A23" s="60">
        <v>16</v>
      </c>
      <c r="B23" s="61" t="s">
        <v>1541</v>
      </c>
      <c r="C23" s="76"/>
      <c r="D23" s="74">
        <f>D21+D22</f>
        <v>0</v>
      </c>
      <c r="E23" s="74">
        <f>E21+E22</f>
        <v>0</v>
      </c>
      <c r="F23" s="10"/>
      <c r="G23" s="25"/>
      <c r="H23" s="36"/>
    </row>
    <row r="24" spans="1:10" s="6" customFormat="1" ht="20.25">
      <c r="A24" s="60">
        <v>17</v>
      </c>
      <c r="B24" s="77" t="s">
        <v>1543</v>
      </c>
      <c r="C24" s="76"/>
      <c r="D24" s="78" t="str">
        <f>IF(ISERROR(SUM(D19/D23)=TRUE),"",(SUM(D19/D23)))</f>
        <v/>
      </c>
      <c r="E24" s="78" t="str">
        <f>IF(ISERROR(SUM(E19/E23)=TRUE),"",(SUM(E19/E23)))</f>
        <v/>
      </c>
      <c r="F24" s="10"/>
      <c r="G24" s="25"/>
      <c r="H24" s="25"/>
      <c r="I24" s="46"/>
      <c r="J24" s="13"/>
    </row>
    <row r="25" spans="1:10" s="6" customFormat="1" ht="20.25">
      <c r="A25" s="60">
        <v>18</v>
      </c>
      <c r="B25" s="61" t="s">
        <v>874</v>
      </c>
      <c r="C25" s="62"/>
      <c r="D25" s="75"/>
      <c r="E25" s="75"/>
      <c r="F25" s="10"/>
      <c r="G25" s="29"/>
      <c r="H25" s="36"/>
    </row>
    <row r="26" spans="1:10" s="6" customFormat="1" ht="20.25">
      <c r="A26" s="60">
        <v>19</v>
      </c>
      <c r="B26" s="61" t="s">
        <v>1544</v>
      </c>
      <c r="C26" s="69"/>
      <c r="D26" s="78" t="str">
        <f>IF(ISERROR(SUM(D18/D25)=TRUE),"",(SUM(D18/D25)))</f>
        <v/>
      </c>
      <c r="E26" s="78" t="str">
        <f>IF(ISERROR(SUM(E18/E25)=TRUE),"",(SUM(E18/E25)))</f>
        <v/>
      </c>
      <c r="F26" s="10"/>
      <c r="G26" s="29"/>
      <c r="H26" s="36"/>
      <c r="J26" s="14"/>
    </row>
    <row r="27" spans="1:10" ht="42" customHeight="1">
      <c r="A27" s="57"/>
      <c r="B27" s="58" t="s">
        <v>437</v>
      </c>
      <c r="C27" s="59"/>
      <c r="D27" s="79" t="s">
        <v>1753</v>
      </c>
      <c r="E27" s="79" t="s">
        <v>1754</v>
      </c>
      <c r="F27" s="3"/>
      <c r="G27" s="28"/>
      <c r="H27" s="36"/>
      <c r="J27" s="15"/>
    </row>
    <row r="28" spans="1:10" s="17" customFormat="1" ht="20.25">
      <c r="A28" s="80">
        <v>20</v>
      </c>
      <c r="B28" s="81" t="s">
        <v>845</v>
      </c>
      <c r="C28" s="82"/>
      <c r="D28" s="63">
        <f>IFERROR(VLOOKUP($B$6,'21-22 F-196 Revenues'!$A$2:$O$315,3,0),0)</f>
        <v>0</v>
      </c>
      <c r="E28" s="63">
        <f>IFERROR(VLOOKUP($B$6,'22-23 F195 Revenues'!$A$2:$L$309,2,0),0)</f>
        <v>0</v>
      </c>
      <c r="F28" s="16"/>
      <c r="G28" s="30"/>
      <c r="H28"/>
      <c r="I28"/>
      <c r="J28" s="23"/>
    </row>
    <row r="29" spans="1:10" s="6" customFormat="1" ht="20.25">
      <c r="A29" s="80">
        <v>21</v>
      </c>
      <c r="B29" s="81" t="s">
        <v>876</v>
      </c>
      <c r="C29" s="63"/>
      <c r="D29" s="63">
        <f>IFERROR(VLOOKUP($B$6,'21-22 F-196 Revenues'!$A$2:$O$315,4,0),0)</f>
        <v>0</v>
      </c>
      <c r="E29" s="63">
        <f>IFERROR(VLOOKUP($B$6,'22-23 F195 Revenues'!$A$2:$L$309,3,0),0)</f>
        <v>0</v>
      </c>
      <c r="F29" s="16"/>
      <c r="G29" s="30"/>
      <c r="H29"/>
      <c r="I29"/>
      <c r="J29" s="23"/>
    </row>
    <row r="30" spans="1:10" s="6" customFormat="1" ht="20.25">
      <c r="A30" s="80">
        <v>22</v>
      </c>
      <c r="B30" s="61" t="s">
        <v>844</v>
      </c>
      <c r="C30" s="69"/>
      <c r="D30" s="63">
        <f>IFERROR(VLOOKUP($B$6,'21-22 F-196 Revenues'!$A$2:$O$315,5,0),0)</f>
        <v>0</v>
      </c>
      <c r="E30" s="63">
        <f>IFERROR(VLOOKUP($B$6,'22-23 F195 Revenues'!$A$2:$L$309,4,0),0)</f>
        <v>0</v>
      </c>
      <c r="F30" s="11"/>
      <c r="G30" s="26"/>
      <c r="H30"/>
      <c r="I30"/>
      <c r="J30" s="23"/>
    </row>
    <row r="31" spans="1:10" s="6" customFormat="1" ht="20.25">
      <c r="A31" s="80">
        <v>23</v>
      </c>
      <c r="B31" s="61" t="s">
        <v>879</v>
      </c>
      <c r="C31" s="69"/>
      <c r="D31" s="63">
        <f>IFERROR(VLOOKUP($B$6,'21-22 F-196 Revenues'!$A$2:$O$315,6,0),0)</f>
        <v>0</v>
      </c>
      <c r="E31" s="63">
        <f>IFERROR(VLOOKUP($B$6,'22-23 F195 Revenues'!$A$2:$L$309,5,0),0)</f>
        <v>0</v>
      </c>
      <c r="F31" s="11"/>
      <c r="G31" s="26"/>
      <c r="H31"/>
      <c r="I31"/>
      <c r="J31" s="23"/>
    </row>
    <row r="32" spans="1:10" s="6" customFormat="1" ht="20.25">
      <c r="A32" s="80">
        <v>24</v>
      </c>
      <c r="B32" s="61" t="s">
        <v>870</v>
      </c>
      <c r="C32" s="69"/>
      <c r="D32" s="63">
        <f>IFERROR(VLOOKUP($B$6,'21-22 F-196 Revenues'!$A$2:$O$315,7,0),0)</f>
        <v>0</v>
      </c>
      <c r="E32" s="63">
        <f>IFERROR(VLOOKUP($B$6,'22-23 F195 Revenues'!$A$2:$L$309,6,0),0)</f>
        <v>0</v>
      </c>
      <c r="F32" s="11"/>
      <c r="G32" s="26"/>
      <c r="H32"/>
      <c r="I32"/>
      <c r="J32" s="23"/>
    </row>
    <row r="33" spans="1:11" s="6" customFormat="1" ht="20.25">
      <c r="A33" s="80">
        <v>25</v>
      </c>
      <c r="B33" s="61" t="s">
        <v>585</v>
      </c>
      <c r="C33" s="62"/>
      <c r="D33" s="63">
        <f>IFERROR(VLOOKUP($B$6,'21-22 F-196 Revenues'!$A$2:$O$315,8,0),0)</f>
        <v>0</v>
      </c>
      <c r="E33" s="63">
        <f>IFERROR(VLOOKUP($B$6,'22-23 F195 Revenues'!$A$2:$L$309,7,0),0)</f>
        <v>0</v>
      </c>
      <c r="F33" s="11"/>
      <c r="G33" s="26"/>
      <c r="H33"/>
      <c r="I33"/>
      <c r="J33" s="23"/>
    </row>
    <row r="34" spans="1:11" s="6" customFormat="1" ht="20.25">
      <c r="A34" s="80">
        <v>26</v>
      </c>
      <c r="B34" s="61" t="s">
        <v>1561</v>
      </c>
      <c r="C34" s="86"/>
      <c r="D34" s="63">
        <f>IFERROR(VLOOKUP($B$6,'21-22 F-196 Revenues'!$A$2:$O$315,9,0),0)</f>
        <v>0</v>
      </c>
      <c r="E34" s="63">
        <f>IFERROR(VLOOKUP($B$6,'22-23 F195 Revenues'!$A$2:$L$309,8,0),0)</f>
        <v>0</v>
      </c>
      <c r="F34" s="9"/>
      <c r="G34" s="30"/>
      <c r="H34"/>
      <c r="I34"/>
      <c r="J34" s="23"/>
    </row>
    <row r="35" spans="1:11" s="6" customFormat="1" ht="20.25">
      <c r="A35" s="80">
        <v>27</v>
      </c>
      <c r="B35" s="61" t="s">
        <v>1592</v>
      </c>
      <c r="C35" s="62"/>
      <c r="D35" s="63">
        <f>D36+D37</f>
        <v>0</v>
      </c>
      <c r="E35" s="63">
        <f>E36+E37</f>
        <v>0</v>
      </c>
      <c r="F35" s="11"/>
      <c r="G35" s="26"/>
      <c r="H35"/>
      <c r="I35"/>
    </row>
    <row r="36" spans="1:11" s="6" customFormat="1" ht="20.25">
      <c r="A36" s="80" t="s">
        <v>1536</v>
      </c>
      <c r="B36" s="171" t="s">
        <v>1539</v>
      </c>
      <c r="C36" s="62"/>
      <c r="D36" s="63">
        <f>IFERROR(VLOOKUP(B6,'21-22 FP 149 Allocations'!$A$2:$E$288,5,0),0)</f>
        <v>0</v>
      </c>
      <c r="E36" s="85"/>
      <c r="F36" s="11"/>
      <c r="G36" s="26"/>
      <c r="H36" s="23"/>
      <c r="I36" s="23"/>
    </row>
    <row r="37" spans="1:11" s="6" customFormat="1" ht="20.25">
      <c r="A37" s="80" t="s">
        <v>1537</v>
      </c>
      <c r="B37" s="171" t="s">
        <v>1540</v>
      </c>
      <c r="C37" s="62"/>
      <c r="D37" s="85"/>
      <c r="E37" s="63">
        <f>IFERROR(VLOOKUP(B6,'149 - 21-22 carryover to 22-23'!$A$4:$E$287,5,0),0)</f>
        <v>0</v>
      </c>
      <c r="F37" s="11"/>
      <c r="G37" s="26"/>
      <c r="H37" s="23"/>
      <c r="I37" s="23"/>
    </row>
    <row r="38" spans="1:11" s="6" customFormat="1" ht="20.25">
      <c r="A38" s="80">
        <v>28</v>
      </c>
      <c r="B38" s="61" t="s">
        <v>1595</v>
      </c>
      <c r="C38" s="83"/>
      <c r="D38" s="63">
        <f>D39+D40+D41</f>
        <v>0</v>
      </c>
      <c r="E38" s="63">
        <f>E39+E40+E41</f>
        <v>0</v>
      </c>
      <c r="F38" s="9"/>
      <c r="G38" s="30"/>
      <c r="H38"/>
      <c r="I38"/>
    </row>
    <row r="39" spans="1:11" s="6" customFormat="1" ht="20.25">
      <c r="A39" s="80" t="s">
        <v>1587</v>
      </c>
      <c r="B39" s="171" t="s">
        <v>1596</v>
      </c>
      <c r="C39" s="69"/>
      <c r="D39" s="84">
        <f>IFERROR(VLOOKUP(B6,'21-22 Allocations'!$A$2:$E$288,5,0),0)</f>
        <v>0</v>
      </c>
      <c r="E39" s="84">
        <f>IFERROR(VLOOKUP(B6,'22-23 Allocations'!$A$3:$E$288,5,0),0)</f>
        <v>0</v>
      </c>
      <c r="F39" s="16"/>
      <c r="G39" s="30"/>
      <c r="H39" s="23"/>
      <c r="I39"/>
      <c r="J39" s="18"/>
    </row>
    <row r="40" spans="1:11" s="6" customFormat="1" ht="20.25">
      <c r="A40" s="80" t="s">
        <v>1588</v>
      </c>
      <c r="B40" s="171" t="s">
        <v>1540</v>
      </c>
      <c r="C40" s="69"/>
      <c r="D40" s="84">
        <f>IFERROR(VLOOKUP(B6,'2020-21 Carryover for 2021-22'!$A$4:$E$282,5,0),0)</f>
        <v>0</v>
      </c>
      <c r="E40" s="84">
        <f>IFERROR(VLOOKUP(B6,'267 - 21-22 carryover to 22-23'!$A$4:$E$287,5,0),0)</f>
        <v>0</v>
      </c>
      <c r="F40" s="9"/>
      <c r="G40" s="30"/>
      <c r="H40"/>
      <c r="I40"/>
      <c r="J40" s="15"/>
    </row>
    <row r="41" spans="1:11" s="6" customFormat="1" ht="20.25">
      <c r="A41" s="80" t="s">
        <v>1589</v>
      </c>
      <c r="B41" s="171" t="s">
        <v>1584</v>
      </c>
      <c r="C41" s="69"/>
      <c r="D41" s="84">
        <f>IFERROR(VLOOKUP(B6,'21-22 Safety Net Awards'!$A$2:$C$133,3,0),0)</f>
        <v>0</v>
      </c>
      <c r="E41" s="85"/>
      <c r="F41" s="9"/>
      <c r="G41" s="30"/>
      <c r="H41" s="23"/>
      <c r="I41" s="23"/>
      <c r="J41" s="15"/>
    </row>
    <row r="42" spans="1:11" s="6" customFormat="1" ht="20.25">
      <c r="A42" s="60">
        <v>29</v>
      </c>
      <c r="B42" s="61" t="s">
        <v>962</v>
      </c>
      <c r="C42" s="86"/>
      <c r="D42" s="63">
        <f>IFERROR(VLOOKUP($B$6,'21-22 F-196 Revenues'!$A$2:$O$315,12,0),0)</f>
        <v>0</v>
      </c>
      <c r="E42" s="63">
        <f>IFERROR(VLOOKUP($B$6,'22-23 F195 Revenues'!$A$2:$L$309,9,0),0)</f>
        <v>0</v>
      </c>
      <c r="F42" s="9"/>
      <c r="G42" s="30"/>
      <c r="H42" s="36"/>
      <c r="J42" s="179"/>
    </row>
    <row r="43" spans="1:11" s="6" customFormat="1" ht="20.25">
      <c r="A43" s="60">
        <v>30</v>
      </c>
      <c r="B43" s="61" t="s">
        <v>839</v>
      </c>
      <c r="C43" s="86"/>
      <c r="D43" s="63">
        <f>IFERROR(VLOOKUP($B$6,'21-22 F-196 Revenues'!$A$2:$O$315,13,0),0)</f>
        <v>0</v>
      </c>
      <c r="E43" s="63">
        <f>IFERROR(VLOOKUP($B$6,'22-23 F195 Revenues'!$A$2:$L$309,10,0),0)</f>
        <v>0</v>
      </c>
      <c r="F43" s="11"/>
      <c r="G43" s="26"/>
      <c r="H43" s="36"/>
      <c r="J43" s="23"/>
    </row>
    <row r="44" spans="1:11" s="6" customFormat="1" ht="20.25">
      <c r="A44" s="60">
        <v>31</v>
      </c>
      <c r="B44" s="61" t="s">
        <v>868</v>
      </c>
      <c r="C44" s="86"/>
      <c r="D44" s="63">
        <f>IFERROR(VLOOKUP($B$6,'21-22 F-196 Revenues'!$A$2:$O$315,14,0),0)</f>
        <v>0</v>
      </c>
      <c r="E44" s="63">
        <f>IFERROR(VLOOKUP($B$6,'22-23 F195 Revenues'!$A$2:$L$309,11,0),0)</f>
        <v>0</v>
      </c>
      <c r="F44" s="11"/>
      <c r="G44" s="26"/>
      <c r="H44" s="36"/>
      <c r="J44" s="23"/>
    </row>
    <row r="45" spans="1:11" s="6" customFormat="1" ht="20.25">
      <c r="A45" s="60">
        <v>32</v>
      </c>
      <c r="B45" s="61" t="s">
        <v>523</v>
      </c>
      <c r="C45" s="62"/>
      <c r="D45" s="63">
        <f>IFERROR(VLOOKUP($B$6,'21-22 F-196 Revenues'!$A$2:$O$315,15,0),0)</f>
        <v>0</v>
      </c>
      <c r="E45" s="63">
        <f>IFERROR(VLOOKUP($B$6,'22-23 F195 Revenues'!$A$2:$L$309,12,0),0)</f>
        <v>0</v>
      </c>
      <c r="F45" s="11"/>
      <c r="G45" s="26"/>
      <c r="H45" s="36"/>
      <c r="J45" s="23"/>
    </row>
    <row r="46" spans="1:11" s="6" customFormat="1" ht="20.25">
      <c r="A46" s="60">
        <v>33</v>
      </c>
      <c r="B46" s="61" t="s">
        <v>582</v>
      </c>
      <c r="C46" s="62"/>
      <c r="D46" s="66"/>
      <c r="E46" s="66"/>
      <c r="F46" s="11"/>
      <c r="G46" s="26"/>
      <c r="H46" s="36"/>
      <c r="J46" s="19"/>
    </row>
    <row r="47" spans="1:11" s="6" customFormat="1" ht="20.25">
      <c r="A47" s="60">
        <v>34</v>
      </c>
      <c r="B47" s="61" t="s">
        <v>840</v>
      </c>
      <c r="C47" s="62"/>
      <c r="D47" s="66"/>
      <c r="E47" s="66"/>
      <c r="F47" s="11"/>
      <c r="G47" s="26"/>
      <c r="H47" s="36"/>
    </row>
    <row r="48" spans="1:11" s="6" customFormat="1" ht="20.25">
      <c r="A48" s="60">
        <v>35</v>
      </c>
      <c r="B48" s="61" t="s">
        <v>894</v>
      </c>
      <c r="C48" s="62"/>
      <c r="D48" s="66"/>
      <c r="E48" s="66"/>
      <c r="F48" s="11"/>
      <c r="G48" s="26"/>
      <c r="H48" s="36"/>
      <c r="K48" s="17"/>
    </row>
    <row r="49" spans="1:8" s="6" customFormat="1" ht="20.25">
      <c r="A49" s="60">
        <v>36</v>
      </c>
      <c r="B49" s="61" t="s">
        <v>1748</v>
      </c>
      <c r="C49" s="69"/>
      <c r="D49" s="63">
        <f>D28+D29+D30+D31+D32+D33+D35+D38+D34+D42+D43+D44+D45+D46+D47+D48</f>
        <v>0</v>
      </c>
      <c r="E49" s="63">
        <f>E28+E29+E30+E31+E32+E33+E35+E38+E34+E42+E43+E44+E45+E46+E47+E48</f>
        <v>0</v>
      </c>
      <c r="F49" s="11"/>
      <c r="G49" s="25"/>
      <c r="H49" s="25"/>
    </row>
    <row r="50" spans="1:8" s="6" customFormat="1" ht="20.25">
      <c r="A50" s="60">
        <v>37</v>
      </c>
      <c r="B50" s="61" t="s">
        <v>1749</v>
      </c>
      <c r="C50" s="69"/>
      <c r="D50" s="63">
        <f>D49-D17</f>
        <v>0</v>
      </c>
      <c r="E50" s="63">
        <f>E49-E17</f>
        <v>0</v>
      </c>
      <c r="F50" s="11"/>
      <c r="G50" s="27"/>
      <c r="H50" s="45"/>
    </row>
    <row r="51" spans="1:8" s="6" customFormat="1" ht="20.25">
      <c r="A51" s="60">
        <v>38</v>
      </c>
      <c r="B51" s="61" t="s">
        <v>873</v>
      </c>
      <c r="C51" s="83"/>
      <c r="D51" s="63">
        <f>IF(D50&gt;0,0,-D50)</f>
        <v>0</v>
      </c>
      <c r="E51" s="63">
        <f>IF(E50&gt;0,0,-E50)</f>
        <v>0</v>
      </c>
      <c r="F51" s="11"/>
      <c r="G51" s="27"/>
      <c r="H51" s="44"/>
    </row>
    <row r="52" spans="1:8" s="6" customFormat="1" ht="14.25" customHeight="1">
      <c r="A52" s="60"/>
      <c r="B52" s="87"/>
      <c r="C52" s="88"/>
      <c r="D52" s="63"/>
      <c r="E52" s="63"/>
      <c r="F52" s="10"/>
      <c r="G52" s="29"/>
      <c r="H52" s="36"/>
    </row>
    <row r="53" spans="1:8" s="21" customFormat="1" ht="20.25">
      <c r="A53" s="89"/>
      <c r="B53" s="277" t="s">
        <v>872</v>
      </c>
      <c r="C53" s="278"/>
      <c r="D53" s="279"/>
      <c r="E53" s="221" t="s">
        <v>1755</v>
      </c>
      <c r="F53" s="20"/>
      <c r="G53" s="31"/>
      <c r="H53" s="37"/>
    </row>
    <row r="54" spans="1:8" s="21" customFormat="1" ht="20.25">
      <c r="A54" s="90" t="s">
        <v>841</v>
      </c>
      <c r="B54" s="273" t="s">
        <v>1502</v>
      </c>
      <c r="C54" s="273"/>
      <c r="D54" s="273"/>
      <c r="E54" s="91"/>
      <c r="F54" s="20"/>
      <c r="G54" s="31"/>
      <c r="H54" s="37"/>
    </row>
    <row r="55" spans="1:8" s="21" customFormat="1" ht="20.25">
      <c r="A55" s="90" t="s">
        <v>842</v>
      </c>
      <c r="B55" s="275" t="s">
        <v>1503</v>
      </c>
      <c r="C55" s="276"/>
      <c r="D55" s="92"/>
      <c r="E55" s="93" t="str">
        <f>IF(ISERROR(SUM((D55/$E$54)*12)=TRUE),"",(SUM((D55/$E$54)*12)))</f>
        <v/>
      </c>
      <c r="F55" s="20"/>
      <c r="G55" s="31"/>
      <c r="H55" s="37"/>
    </row>
    <row r="56" spans="1:8" s="21" customFormat="1" ht="20.25">
      <c r="A56" s="90" t="s">
        <v>895</v>
      </c>
      <c r="B56" s="275" t="s">
        <v>1747</v>
      </c>
      <c r="C56" s="276"/>
      <c r="D56" s="92"/>
      <c r="E56" s="93" t="str">
        <f>IF(ISERROR(SUM((D56/$E$54)*12)=TRUE),"",(SUM((D56/$E$54)*12)))</f>
        <v/>
      </c>
      <c r="F56" s="20"/>
      <c r="G56" s="31"/>
      <c r="H56" s="37"/>
    </row>
    <row r="57" spans="1:8" s="21" customFormat="1" ht="20.25">
      <c r="A57" s="90" t="s">
        <v>858</v>
      </c>
      <c r="B57" s="271" t="s">
        <v>1499</v>
      </c>
      <c r="C57" s="272"/>
      <c r="D57" s="92"/>
      <c r="E57" s="93" t="str">
        <f>IF(ISERROR(SUM((D57/$E$54)*12)=TRUE),"",(SUM((D57/$E$54)*12)))</f>
        <v/>
      </c>
      <c r="F57" s="20"/>
      <c r="G57" s="31"/>
      <c r="H57" s="37"/>
    </row>
    <row r="58" spans="1:8" s="21" customFormat="1" ht="20.25">
      <c r="A58" s="90" t="s">
        <v>843</v>
      </c>
      <c r="B58" s="271" t="s">
        <v>1500</v>
      </c>
      <c r="C58" s="272"/>
      <c r="D58" s="92"/>
      <c r="E58" s="93" t="str">
        <f>IF(ISERROR(SUM((D58/$E$54)*12)=TRUE),"",(SUM((D58/$E$54)*12)))</f>
        <v/>
      </c>
      <c r="F58" s="20"/>
      <c r="G58" s="31"/>
      <c r="H58" s="37"/>
    </row>
    <row r="59" spans="1:8" s="21" customFormat="1" ht="20.25">
      <c r="A59" s="90" t="s">
        <v>846</v>
      </c>
      <c r="B59" s="271" t="s">
        <v>1501</v>
      </c>
      <c r="C59" s="274"/>
      <c r="D59" s="92"/>
      <c r="E59" s="93" t="str">
        <f>IF(ISERROR(SUM((D59/$E$54)*12)=TRUE),"",(SUM((D59/$E$54)*12)))</f>
        <v/>
      </c>
      <c r="F59" s="20"/>
      <c r="G59" s="31"/>
      <c r="H59" s="37"/>
    </row>
    <row r="60" spans="1:8" s="21" customFormat="1" ht="20.25">
      <c r="A60" s="90" t="s">
        <v>1746</v>
      </c>
      <c r="B60" s="270" t="s">
        <v>1756</v>
      </c>
      <c r="C60" s="270"/>
      <c r="D60" s="94">
        <f>SUM(D55:D59)</f>
        <v>0</v>
      </c>
      <c r="E60" s="95">
        <f>SUM(E55:E59)</f>
        <v>0</v>
      </c>
      <c r="F60" s="20"/>
      <c r="G60" s="31"/>
      <c r="H60" s="37"/>
    </row>
    <row r="61" spans="1:8" s="6" customFormat="1" ht="18.75">
      <c r="A61" s="51"/>
      <c r="B61" s="96"/>
      <c r="C61" s="97"/>
      <c r="D61" s="51"/>
      <c r="E61" s="51"/>
      <c r="G61" s="32"/>
      <c r="H61" s="36"/>
    </row>
    <row r="62" spans="1:8" ht="18.95" customHeight="1">
      <c r="C62" s="98"/>
      <c r="D62" s="99"/>
      <c r="E62" s="99"/>
    </row>
    <row r="63" spans="1:8" ht="18.95" customHeight="1">
      <c r="C63" s="100"/>
      <c r="D63" s="101"/>
      <c r="E63" s="101"/>
    </row>
    <row r="64" spans="1:8" ht="18.95" customHeight="1"/>
  </sheetData>
  <customSheetViews>
    <customSheetView guid="{3391497B-85F4-4817-B669-10F463F3A207}" scale="60" fitToPage="1" hiddenColumns="1">
      <selection activeCell="C49" sqref="C49"/>
      <pageMargins left="0" right="0" top="0" bottom="0" header="0.3" footer="0"/>
      <printOptions horizontalCentered="1"/>
      <pageSetup scale="47" orientation="portrait" cellComments="asDisplayed" r:id="rId1"/>
      <headerFooter scaleWithDoc="0">
        <oddFooter>&amp;L&amp;7FORM 1381-WORKSHEET A (Rev. 10/2013)&amp;R&amp;D</oddFooter>
      </headerFooter>
    </customSheetView>
    <customSheetView guid="{6D4FF6D6-C66D-4B43-9B4E-7985B86B1BBC}" scale="60" fitToPage="1" printArea="1" hiddenColumns="1">
      <selection activeCell="C7" sqref="C7"/>
      <pageMargins left="0" right="0" top="0" bottom="0" header="0.3" footer="0"/>
      <printOptions horizontalCentered="1"/>
      <pageSetup scale="60" orientation="portrait" cellComments="asDisplayed" r:id="rId2"/>
      <headerFooter scaleWithDoc="0">
        <oddFooter>&amp;L&amp;7FORM 1381-WORKSHEET A (Rev. 10/2013)&amp;R&amp;D</oddFooter>
      </headerFooter>
    </customSheetView>
    <customSheetView guid="{258DC0F9-B8C5-4A47-B911-FC6C1B128653}" scale="60" showPageBreaks="1" fitToPage="1" printArea="1" hiddenColumns="1">
      <selection activeCell="C49" sqref="C49"/>
      <pageMargins left="0" right="0" top="0" bottom="0" header="0.3" footer="0"/>
      <printOptions horizontalCentered="1"/>
      <pageSetup scale="47" orientation="portrait" cellComments="asDisplayed" r:id="rId3"/>
      <headerFooter scaleWithDoc="0">
        <oddFooter>&amp;L&amp;7FORM 1381-WORKSHEET A (Rev. 10/2013)&amp;R&amp;D</oddFooter>
      </headerFooter>
    </customSheetView>
  </customSheetViews>
  <mergeCells count="11">
    <mergeCell ref="A1:E1"/>
    <mergeCell ref="A4:E4"/>
    <mergeCell ref="A5:E5"/>
    <mergeCell ref="B60:C60"/>
    <mergeCell ref="B57:C57"/>
    <mergeCell ref="B58:C58"/>
    <mergeCell ref="B54:D54"/>
    <mergeCell ref="B59:C59"/>
    <mergeCell ref="B55:C55"/>
    <mergeCell ref="B53:D53"/>
    <mergeCell ref="B56:C56"/>
  </mergeCells>
  <conditionalFormatting sqref="D23:E23">
    <cfRule type="expression" dxfId="975" priority="7" stopIfTrue="1">
      <formula>"iserror($G$26)"</formula>
    </cfRule>
    <cfRule type="expression" dxfId="974" priority="8" stopIfTrue="1">
      <formula>"if(iserror"</formula>
    </cfRule>
  </conditionalFormatting>
  <conditionalFormatting sqref="D24">
    <cfRule type="expression" dxfId="973" priority="3" stopIfTrue="1">
      <formula>"iserror($G$26)"</formula>
    </cfRule>
    <cfRule type="expression" dxfId="972" priority="4" stopIfTrue="1">
      <formula>"if(iserror"</formula>
    </cfRule>
  </conditionalFormatting>
  <conditionalFormatting sqref="E24">
    <cfRule type="expression" dxfId="971" priority="1" stopIfTrue="1">
      <formula>"iserror($G$26)"</formula>
    </cfRule>
    <cfRule type="expression" dxfId="970" priority="2" stopIfTrue="1">
      <formula>"if(iserror"</formula>
    </cfRule>
  </conditionalFormatting>
  <pageMargins left="1" right="0" top="0" bottom="0.25" header="0" footer="0"/>
  <pageSetup scale="55" orientation="portrait" cellComments="asDisplayed" r:id="rId4"/>
  <headerFooter scaleWithDoc="0">
    <oddFooter>&amp;L&amp;7FORM 1381-WORKSHEET A  (Rev. 10/2022)</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8B99D-6E74-4DF3-96CA-95564A4682EE}">
  <sheetPr>
    <tabColor rgb="FF002060"/>
  </sheetPr>
  <dimension ref="A1:AM120"/>
  <sheetViews>
    <sheetView topLeftCell="A74" workbookViewId="0">
      <selection activeCell="K11" sqref="K11"/>
    </sheetView>
  </sheetViews>
  <sheetFormatPr defaultRowHeight="14.25"/>
  <cols>
    <col min="1" max="1" width="7.140625" style="130" bestFit="1" customWidth="1"/>
    <col min="2" max="2" width="6.5703125" style="130" bestFit="1" customWidth="1"/>
    <col min="3" max="3" width="11.85546875" style="130" bestFit="1" customWidth="1"/>
    <col min="4" max="4" width="11.85546875" style="130" customWidth="1"/>
    <col min="5" max="5" width="11.7109375" style="130" customWidth="1"/>
    <col min="6" max="6" width="18" style="130" customWidth="1"/>
    <col min="7" max="7" width="21.5703125" style="130" bestFit="1" customWidth="1"/>
    <col min="8" max="8" width="4.85546875" style="130" customWidth="1"/>
    <col min="9" max="9" width="7.140625" style="130" bestFit="1" customWidth="1"/>
    <col min="10" max="10" width="6.5703125" style="130" bestFit="1" customWidth="1"/>
    <col min="11" max="12" width="11.85546875" style="130" customWidth="1"/>
    <col min="13" max="13" width="11.7109375" style="130" customWidth="1"/>
    <col min="14" max="14" width="18" style="130" bestFit="1" customWidth="1"/>
    <col min="15" max="15" width="21.5703125" style="130" bestFit="1" customWidth="1"/>
    <col min="16" max="16" width="4.85546875" style="130" customWidth="1"/>
    <col min="17" max="17" width="7.140625" style="130" bestFit="1" customWidth="1"/>
    <col min="18" max="18" width="6.5703125" style="130" bestFit="1" customWidth="1"/>
    <col min="19" max="19" width="12.28515625" style="130" bestFit="1" customWidth="1"/>
    <col min="20" max="20" width="10.5703125" style="130" customWidth="1"/>
    <col min="21" max="21" width="11.7109375" style="130" customWidth="1"/>
    <col min="22" max="22" width="19.42578125" style="130" customWidth="1"/>
    <col min="23" max="23" width="21.5703125" style="130" bestFit="1" customWidth="1"/>
    <col min="24" max="24" width="4.85546875" style="130" customWidth="1"/>
    <col min="25" max="25" width="7.140625" style="130" bestFit="1" customWidth="1"/>
    <col min="26" max="26" width="6.5703125" style="130" bestFit="1" customWidth="1"/>
    <col min="27" max="27" width="12.28515625" style="130" bestFit="1" customWidth="1"/>
    <col min="28" max="28" width="10.5703125" style="130" customWidth="1"/>
    <col min="29" max="29" width="11.7109375" style="130" customWidth="1"/>
    <col min="30" max="30" width="19.42578125" style="130" customWidth="1"/>
    <col min="31" max="31" width="21.5703125" style="130" bestFit="1" customWidth="1"/>
    <col min="32" max="32" width="4.85546875" style="130" customWidth="1"/>
    <col min="33" max="33" width="7.140625" style="130" bestFit="1" customWidth="1"/>
    <col min="34" max="34" width="6.5703125" style="130" bestFit="1" customWidth="1"/>
    <col min="35" max="35" width="12" style="130" bestFit="1" customWidth="1"/>
    <col min="36" max="36" width="10.5703125" style="130" customWidth="1"/>
    <col min="37" max="37" width="11.7109375" style="130" customWidth="1"/>
    <col min="38" max="38" width="19.42578125" style="130" customWidth="1"/>
    <col min="39" max="39" width="21.5703125" style="130" bestFit="1" customWidth="1"/>
    <col min="40" max="16384" width="9.140625" style="130"/>
  </cols>
  <sheetData>
    <row r="1" spans="1:39" ht="12.75" customHeight="1">
      <c r="A1" s="130" t="s">
        <v>867</v>
      </c>
      <c r="B1" s="182">
        <f>'2022-23 Worksheet A'!B6</f>
        <v>0</v>
      </c>
      <c r="C1" s="130" t="s">
        <v>171</v>
      </c>
      <c r="D1" s="283" t="str">
        <f>'2022-23 Worksheet A'!A5</f>
        <v xml:space="preserve"> </v>
      </c>
      <c r="E1" s="283"/>
      <c r="F1" s="284" t="s">
        <v>1505</v>
      </c>
      <c r="G1" s="284"/>
      <c r="H1" s="284"/>
      <c r="I1" s="284"/>
      <c r="J1" s="284"/>
      <c r="K1" s="284"/>
      <c r="L1" s="284"/>
      <c r="M1" s="284"/>
      <c r="N1" s="284"/>
      <c r="O1" s="284"/>
      <c r="P1" s="183"/>
      <c r="Q1" s="183"/>
      <c r="R1" s="183"/>
      <c r="S1" s="183"/>
      <c r="T1" s="183"/>
      <c r="U1" s="183"/>
      <c r="V1" s="183"/>
      <c r="W1" s="183"/>
      <c r="Z1" s="182"/>
      <c r="AB1" s="184"/>
      <c r="AC1" s="184"/>
      <c r="AD1" s="184"/>
      <c r="AE1" s="184"/>
      <c r="AH1" s="182"/>
      <c r="AJ1" s="184"/>
      <c r="AK1" s="184"/>
      <c r="AL1" s="184"/>
      <c r="AM1" s="184"/>
    </row>
    <row r="2" spans="1:39" ht="29.25" customHeight="1">
      <c r="B2" s="182"/>
      <c r="E2" s="185"/>
      <c r="F2" s="284"/>
      <c r="G2" s="284"/>
      <c r="H2" s="284"/>
      <c r="I2" s="284"/>
      <c r="J2" s="284"/>
      <c r="K2" s="284"/>
      <c r="L2" s="284"/>
      <c r="M2" s="284"/>
      <c r="N2" s="284"/>
      <c r="O2" s="284"/>
      <c r="P2" s="183"/>
      <c r="Q2" s="183"/>
      <c r="R2" s="183"/>
      <c r="S2" s="183"/>
      <c r="T2" s="183"/>
      <c r="U2" s="183"/>
      <c r="V2" s="183"/>
      <c r="W2" s="183"/>
      <c r="X2" s="186"/>
      <c r="Z2" s="182"/>
      <c r="AC2" s="185"/>
      <c r="AD2" s="185"/>
      <c r="AE2" s="203"/>
      <c r="AH2" s="182"/>
      <c r="AK2" s="185"/>
      <c r="AL2" s="185"/>
      <c r="AM2" s="203"/>
    </row>
    <row r="3" spans="1:39">
      <c r="A3" s="185" t="s">
        <v>1000</v>
      </c>
      <c r="B3" s="288" t="s">
        <v>1008</v>
      </c>
      <c r="C3" s="288"/>
      <c r="D3" s="186">
        <f>IF(B3="September",1,IF(B3="October",2,IF(B3="November",3,IF(B3="December",4,IF(B3="January",5,IF(B3="February",6,IF(B3="March",7,IF(B3="April",8,IF(B3="May",9,IF(B3="June",10,IF(B3="July",11," ")))))))))))</f>
        <v>6</v>
      </c>
      <c r="E3" s="185"/>
      <c r="F3" s="185"/>
      <c r="G3" s="203"/>
      <c r="H3" s="186"/>
      <c r="I3" s="185"/>
      <c r="J3" s="204"/>
      <c r="K3" s="204"/>
      <c r="L3" s="186"/>
      <c r="M3" s="185"/>
      <c r="N3" s="185"/>
      <c r="O3" s="203"/>
      <c r="P3" s="186"/>
      <c r="Q3" s="185"/>
      <c r="R3" s="204"/>
      <c r="S3" s="204"/>
      <c r="T3" s="186"/>
      <c r="U3" s="185"/>
      <c r="V3" s="185"/>
      <c r="W3" s="203"/>
      <c r="X3" s="186"/>
      <c r="Y3" s="185"/>
      <c r="Z3" s="204"/>
      <c r="AA3" s="204"/>
      <c r="AB3" s="186"/>
      <c r="AC3" s="185"/>
      <c r="AD3" s="185"/>
      <c r="AE3" s="203"/>
      <c r="AG3" s="185"/>
      <c r="AH3" s="204"/>
      <c r="AI3" s="204"/>
      <c r="AJ3" s="186"/>
      <c r="AK3" s="185"/>
      <c r="AL3" s="185"/>
      <c r="AM3" s="203"/>
    </row>
    <row r="4" spans="1:39">
      <c r="A4" s="285" t="s">
        <v>1001</v>
      </c>
      <c r="B4" s="286"/>
      <c r="C4" s="286"/>
      <c r="D4" s="286"/>
      <c r="E4" s="286"/>
      <c r="F4" s="286"/>
      <c r="G4" s="287"/>
      <c r="I4" s="285" t="s">
        <v>1744</v>
      </c>
      <c r="J4" s="286"/>
      <c r="K4" s="286"/>
      <c r="L4" s="286"/>
      <c r="M4" s="286"/>
      <c r="N4" s="286"/>
      <c r="O4" s="287"/>
      <c r="Q4" s="285" t="s">
        <v>1006</v>
      </c>
      <c r="R4" s="286"/>
      <c r="S4" s="286"/>
      <c r="T4" s="286"/>
      <c r="U4" s="286"/>
      <c r="V4" s="286"/>
      <c r="W4" s="287"/>
      <c r="Y4" s="285" t="s">
        <v>1007</v>
      </c>
      <c r="Z4" s="286"/>
      <c r="AA4" s="286"/>
      <c r="AB4" s="286"/>
      <c r="AC4" s="286"/>
      <c r="AD4" s="286"/>
      <c r="AE4" s="287"/>
      <c r="AG4" s="285" t="s">
        <v>1009</v>
      </c>
      <c r="AH4" s="286"/>
      <c r="AI4" s="286"/>
      <c r="AJ4" s="286"/>
      <c r="AK4" s="286"/>
      <c r="AL4" s="286"/>
      <c r="AM4" s="287"/>
    </row>
    <row r="5" spans="1:39" ht="28.5">
      <c r="A5" s="187" t="s">
        <v>1002</v>
      </c>
      <c r="B5" s="188" t="s">
        <v>1003</v>
      </c>
      <c r="C5" s="205" t="s">
        <v>1011</v>
      </c>
      <c r="D5" s="206" t="s">
        <v>1004</v>
      </c>
      <c r="E5" s="207" t="s">
        <v>1010</v>
      </c>
      <c r="F5" s="207" t="s">
        <v>1504</v>
      </c>
      <c r="G5" s="220" t="s">
        <v>1005</v>
      </c>
      <c r="I5" s="187" t="s">
        <v>1002</v>
      </c>
      <c r="J5" s="188" t="s">
        <v>1003</v>
      </c>
      <c r="K5" s="205" t="s">
        <v>1011</v>
      </c>
      <c r="L5" s="206" t="s">
        <v>1004</v>
      </c>
      <c r="M5" s="207" t="s">
        <v>1010</v>
      </c>
      <c r="N5" s="207" t="s">
        <v>1504</v>
      </c>
      <c r="O5" s="189" t="s">
        <v>1005</v>
      </c>
      <c r="Q5" s="187" t="s">
        <v>1002</v>
      </c>
      <c r="R5" s="188" t="s">
        <v>1003</v>
      </c>
      <c r="S5" s="205" t="s">
        <v>1011</v>
      </c>
      <c r="T5" s="206" t="s">
        <v>1004</v>
      </c>
      <c r="U5" s="207" t="s">
        <v>1010</v>
      </c>
      <c r="V5" s="207" t="s">
        <v>1504</v>
      </c>
      <c r="W5" s="189" t="s">
        <v>1005</v>
      </c>
      <c r="Y5" s="187" t="s">
        <v>1002</v>
      </c>
      <c r="Z5" s="188" t="s">
        <v>1003</v>
      </c>
      <c r="AA5" s="205" t="s">
        <v>1011</v>
      </c>
      <c r="AB5" s="206" t="s">
        <v>1004</v>
      </c>
      <c r="AC5" s="207" t="s">
        <v>1010</v>
      </c>
      <c r="AD5" s="207" t="s">
        <v>1504</v>
      </c>
      <c r="AE5" s="189" t="s">
        <v>1005</v>
      </c>
      <c r="AG5" s="187" t="s">
        <v>1002</v>
      </c>
      <c r="AH5" s="188" t="s">
        <v>1003</v>
      </c>
      <c r="AI5" s="205" t="s">
        <v>1011</v>
      </c>
      <c r="AJ5" s="206" t="s">
        <v>1004</v>
      </c>
      <c r="AK5" s="207" t="s">
        <v>1010</v>
      </c>
      <c r="AL5" s="207" t="s">
        <v>1504</v>
      </c>
      <c r="AM5" s="189" t="s">
        <v>1005</v>
      </c>
    </row>
    <row r="6" spans="1:39">
      <c r="A6" s="280">
        <v>21</v>
      </c>
      <c r="B6" s="190">
        <v>0</v>
      </c>
      <c r="C6" s="191">
        <f>IFERROR(GETPIVOTDATA("Amount",'22-23 F195 ExpendPivot'!$A$5:$K$2119,"CCDDD",'2022-23 Worksheet A'!$B$6,"Program","21","Activity","21","Object","0"),0)</f>
        <v>0</v>
      </c>
      <c r="D6" s="208">
        <v>0</v>
      </c>
      <c r="E6" s="191">
        <f t="shared" ref="E6:E13" si="0">D6/$D$3*12</f>
        <v>0</v>
      </c>
      <c r="F6" s="192">
        <f>IFERROR((E6-C6)/C6,0)</f>
        <v>0</v>
      </c>
      <c r="G6" s="193"/>
      <c r="I6" s="280">
        <v>21</v>
      </c>
      <c r="J6" s="190">
        <v>0</v>
      </c>
      <c r="K6" s="191">
        <f>IFERROR(GETPIVOTDATA("Amount",'22-23 F195 ExpendPivot'!$A$5:$K$2119,"CCDDD",'2022-23 Worksheet A'!$B$6,"Program","23","Activity","21","Object","0"),0)</f>
        <v>0</v>
      </c>
      <c r="L6" s="208">
        <v>0</v>
      </c>
      <c r="M6" s="191">
        <f t="shared" ref="M6:M13" si="1">L6/$D$3*12</f>
        <v>0</v>
      </c>
      <c r="N6" s="192">
        <f>IFERROR((M6-K6)/K6,0)</f>
        <v>0</v>
      </c>
      <c r="O6" s="193"/>
      <c r="Q6" s="280">
        <v>21</v>
      </c>
      <c r="R6" s="190">
        <v>0</v>
      </c>
      <c r="S6" s="191">
        <f>IFERROR(GETPIVOTDATA("Amount",'22-23 F195 ExpendPivot'!$A$5:$K$2119,"CCDDD",'2022-23 Worksheet A'!$B$6,"Program","24","Activity","21","Object","0"),0)</f>
        <v>0</v>
      </c>
      <c r="T6" s="208">
        <v>0</v>
      </c>
      <c r="U6" s="191">
        <f t="shared" ref="U6:U13" si="2">T6/$D$3*12</f>
        <v>0</v>
      </c>
      <c r="V6" s="192">
        <f>IFERROR((U6-S6)/S6,0)</f>
        <v>0</v>
      </c>
      <c r="W6" s="193"/>
      <c r="Y6" s="280">
        <v>21</v>
      </c>
      <c r="Z6" s="190">
        <v>0</v>
      </c>
      <c r="AA6" s="191">
        <f>IFERROR(GETPIVOTDATA("Amount",'22-23 F195 ExpendPivot'!$A$5:$K$2119,"CCDDD",'2022-23 Worksheet A'!$B$6,"Program","26","Activity","21","Object","0"),0)</f>
        <v>0</v>
      </c>
      <c r="AB6" s="208">
        <v>0</v>
      </c>
      <c r="AC6" s="191">
        <f t="shared" ref="AC6:AC13" si="3">AB6/$D$3*12</f>
        <v>0</v>
      </c>
      <c r="AD6" s="192">
        <f>IFERROR((AC6-AA6)/AA6,0)</f>
        <v>0</v>
      </c>
      <c r="AE6" s="193"/>
      <c r="AG6" s="280">
        <v>21</v>
      </c>
      <c r="AH6" s="190">
        <v>0</v>
      </c>
      <c r="AI6" s="191">
        <f>IFERROR(GETPIVOTDATA("Amount",'22-23 F195 ExpendPivot'!$A$5:$K$2119,"CCDDD",'2022-23 Worksheet A'!$B$6,"Program","29","Activity","21","Object","0"),0)</f>
        <v>0</v>
      </c>
      <c r="AJ6" s="208">
        <v>0</v>
      </c>
      <c r="AK6" s="191">
        <f t="shared" ref="AK6:AK13" si="4">AJ6/$D$3*12</f>
        <v>0</v>
      </c>
      <c r="AL6" s="192">
        <f>IFERROR((AK6-AI6)/AI6,0)</f>
        <v>0</v>
      </c>
      <c r="AM6" s="193"/>
    </row>
    <row r="7" spans="1:39">
      <c r="A7" s="281"/>
      <c r="B7" s="194">
        <v>2</v>
      </c>
      <c r="C7" s="195">
        <f>IFERROR(GETPIVOTDATA("Amount",'22-23 F195 ExpendPivot'!$A$5:$K$2119,"CCDDD",'2022-23 Worksheet A'!$B$6,"Program","21","Activity","21","Object","2"),0)</f>
        <v>0</v>
      </c>
      <c r="D7" s="209">
        <v>0</v>
      </c>
      <c r="E7" s="195">
        <f t="shared" si="0"/>
        <v>0</v>
      </c>
      <c r="F7" s="196">
        <f t="shared" ref="F7:F70" si="5">IFERROR((E7-C7)/C7,0)</f>
        <v>0</v>
      </c>
      <c r="G7" s="189"/>
      <c r="I7" s="281"/>
      <c r="J7" s="194">
        <v>2</v>
      </c>
      <c r="K7" s="195">
        <f>IFERROR(GETPIVOTDATA("Amount",'22-23 F195 ExpendPivot'!$A$5:$K$2119,"CCDDD",'2022-23 Worksheet A'!$B$6,"Program","23","Activity","21","Object","2"),0)</f>
        <v>0</v>
      </c>
      <c r="L7" s="209">
        <v>0</v>
      </c>
      <c r="M7" s="195">
        <f t="shared" si="1"/>
        <v>0</v>
      </c>
      <c r="N7" s="196">
        <f t="shared" ref="N7:N13" si="6">IFERROR((M7-K7)/K7,0)</f>
        <v>0</v>
      </c>
      <c r="O7" s="189"/>
      <c r="Q7" s="281"/>
      <c r="R7" s="194">
        <v>2</v>
      </c>
      <c r="S7" s="195">
        <f>IFERROR(GETPIVOTDATA("Amount",'22-23 F195 ExpendPivot'!$A$5:$K$2119,"CCDDD",'2022-23 Worksheet A'!$B$6,"Program","24","Activity","21","Object","2"),0)</f>
        <v>0</v>
      </c>
      <c r="T7" s="209">
        <v>0</v>
      </c>
      <c r="U7" s="195">
        <f t="shared" si="2"/>
        <v>0</v>
      </c>
      <c r="V7" s="196">
        <f t="shared" ref="V7:V70" si="7">IFERROR((U7-S7)/S7,0)</f>
        <v>0</v>
      </c>
      <c r="W7" s="189"/>
      <c r="Y7" s="281"/>
      <c r="Z7" s="194">
        <v>2</v>
      </c>
      <c r="AA7" s="195">
        <f>IFERROR(GETPIVOTDATA("Amount",'22-23 F195 ExpendPivot'!$A$5:$K$2119,"CCDDD",'2022-23 Worksheet A'!$B$6,"Program","26","Activity","21","Object","2"),0)</f>
        <v>0</v>
      </c>
      <c r="AB7" s="209">
        <v>0</v>
      </c>
      <c r="AC7" s="195">
        <f t="shared" si="3"/>
        <v>0</v>
      </c>
      <c r="AD7" s="196">
        <f t="shared" ref="AD7:AD70" si="8">IFERROR((AC7-AA7)/AA7,0)</f>
        <v>0</v>
      </c>
      <c r="AE7" s="189"/>
      <c r="AG7" s="281"/>
      <c r="AH7" s="194">
        <v>2</v>
      </c>
      <c r="AI7" s="195">
        <f>IFERROR(GETPIVOTDATA("Amount",'22-23 F195 ExpendPivot'!$A$5:$K$2119,"CCDDD",'2022-23 Worksheet A'!$B$6,"Program","29","Activity","21","Object","2"),0)</f>
        <v>0</v>
      </c>
      <c r="AJ7" s="209">
        <v>0</v>
      </c>
      <c r="AK7" s="195">
        <f t="shared" si="4"/>
        <v>0</v>
      </c>
      <c r="AL7" s="196">
        <f t="shared" ref="AL7:AL70" si="9">IFERROR((AK7-AI7)/AI7,0)</f>
        <v>0</v>
      </c>
      <c r="AM7" s="189"/>
    </row>
    <row r="8" spans="1:39">
      <c r="A8" s="281"/>
      <c r="B8" s="194">
        <v>3</v>
      </c>
      <c r="C8" s="195">
        <f>IFERROR(GETPIVOTDATA("Amount",'22-23 F195 ExpendPivot'!$A$5:$K$2119,"CCDDD",'2022-23 Worksheet A'!$B$6,"Program","21","Activity","21","Object","3"),0)</f>
        <v>0</v>
      </c>
      <c r="D8" s="209">
        <v>0</v>
      </c>
      <c r="E8" s="195">
        <f t="shared" si="0"/>
        <v>0</v>
      </c>
      <c r="F8" s="196">
        <f t="shared" si="5"/>
        <v>0</v>
      </c>
      <c r="G8" s="189"/>
      <c r="I8" s="281"/>
      <c r="J8" s="194">
        <v>3</v>
      </c>
      <c r="K8" s="195">
        <f>IFERROR(GETPIVOTDATA("Amount",'22-23 F195 ExpendPivot'!$A$5:$K$2119,"CCDDD",'2022-23 Worksheet A'!$B$6,"Program","23","Activity","21","Object","3"),0)</f>
        <v>0</v>
      </c>
      <c r="L8" s="209">
        <v>0</v>
      </c>
      <c r="M8" s="195">
        <f t="shared" si="1"/>
        <v>0</v>
      </c>
      <c r="N8" s="196">
        <f t="shared" si="6"/>
        <v>0</v>
      </c>
      <c r="O8" s="189"/>
      <c r="Q8" s="281"/>
      <c r="R8" s="194">
        <v>3</v>
      </c>
      <c r="S8" s="195">
        <f>IFERROR(GETPIVOTDATA("Amount",'22-23 F195 ExpendPivot'!$A$5:$K$2119,"CCDDD",'2022-23 Worksheet A'!$B$6,"Program","24","Activity","21","Object","3"),0)</f>
        <v>0</v>
      </c>
      <c r="T8" s="209">
        <v>0</v>
      </c>
      <c r="U8" s="195">
        <f t="shared" si="2"/>
        <v>0</v>
      </c>
      <c r="V8" s="196">
        <f t="shared" si="7"/>
        <v>0</v>
      </c>
      <c r="W8" s="189"/>
      <c r="Y8" s="281"/>
      <c r="Z8" s="194">
        <v>3</v>
      </c>
      <c r="AA8" s="195">
        <f>IFERROR(GETPIVOTDATA("Amount",'22-23 F195 ExpendPivot'!$A$5:$K$2119,"CCDDD",'2022-23 Worksheet A'!$B$6,"Program","26","Activity","21","Object","3"),0)</f>
        <v>0</v>
      </c>
      <c r="AB8" s="209">
        <v>0</v>
      </c>
      <c r="AC8" s="195">
        <f t="shared" si="3"/>
        <v>0</v>
      </c>
      <c r="AD8" s="196">
        <f t="shared" si="8"/>
        <v>0</v>
      </c>
      <c r="AE8" s="189"/>
      <c r="AG8" s="281"/>
      <c r="AH8" s="194">
        <v>3</v>
      </c>
      <c r="AI8" s="195">
        <f>IFERROR(GETPIVOTDATA("Amount",'22-23 F195 ExpendPivot'!$A$5:$K$2119,"CCDDD",'2022-23 Worksheet A'!$B$6,"Program","29","Activity","21","Object","3"),0)</f>
        <v>0</v>
      </c>
      <c r="AJ8" s="209">
        <v>0</v>
      </c>
      <c r="AK8" s="195">
        <f t="shared" si="4"/>
        <v>0</v>
      </c>
      <c r="AL8" s="196">
        <f t="shared" si="9"/>
        <v>0</v>
      </c>
      <c r="AM8" s="189"/>
    </row>
    <row r="9" spans="1:39">
      <c r="A9" s="281"/>
      <c r="B9" s="194">
        <v>4</v>
      </c>
      <c r="C9" s="195">
        <f>IFERROR(GETPIVOTDATA("Amount",'22-23 F195 ExpendPivot'!$A$5:$K$2119,"CCDDD",'2022-23 Worksheet A'!$B$6,"Program","21","Activity","21","Object","4"),0)</f>
        <v>0</v>
      </c>
      <c r="D9" s="209">
        <v>0</v>
      </c>
      <c r="E9" s="195">
        <f t="shared" si="0"/>
        <v>0</v>
      </c>
      <c r="F9" s="196">
        <f t="shared" si="5"/>
        <v>0</v>
      </c>
      <c r="G9" s="189"/>
      <c r="I9" s="281"/>
      <c r="J9" s="194">
        <v>4</v>
      </c>
      <c r="K9" s="195">
        <f>IFERROR(GETPIVOTDATA("Amount",'22-23 F195 ExpendPivot'!$A$5:$K$2119,"CCDDD",'2022-23 Worksheet A'!$B$6,"Program","23","Activity","21","Object","4"),0)</f>
        <v>0</v>
      </c>
      <c r="L9" s="209">
        <v>0</v>
      </c>
      <c r="M9" s="195">
        <f t="shared" si="1"/>
        <v>0</v>
      </c>
      <c r="N9" s="196">
        <f t="shared" si="6"/>
        <v>0</v>
      </c>
      <c r="O9" s="189"/>
      <c r="Q9" s="281"/>
      <c r="R9" s="194">
        <v>4</v>
      </c>
      <c r="S9" s="195">
        <f>IFERROR(GETPIVOTDATA("Amount",'22-23 F195 ExpendPivot'!$A$5:$K$2119,"CCDDD",'2022-23 Worksheet A'!$B$6,"Program","24","Activity","21","Object","4"),0)</f>
        <v>0</v>
      </c>
      <c r="T9" s="209">
        <v>0</v>
      </c>
      <c r="U9" s="195">
        <f t="shared" si="2"/>
        <v>0</v>
      </c>
      <c r="V9" s="196">
        <f t="shared" si="7"/>
        <v>0</v>
      </c>
      <c r="W9" s="189"/>
      <c r="Y9" s="281"/>
      <c r="Z9" s="194">
        <v>4</v>
      </c>
      <c r="AA9" s="195">
        <f>IFERROR(GETPIVOTDATA("Amount",'22-23 F195 ExpendPivot'!$A$5:$K$2119,"CCDDD",'2022-23 Worksheet A'!$B$6,"Program","26","Activity","21","Object","4"),0)</f>
        <v>0</v>
      </c>
      <c r="AB9" s="209">
        <v>0</v>
      </c>
      <c r="AC9" s="195">
        <f t="shared" si="3"/>
        <v>0</v>
      </c>
      <c r="AD9" s="196">
        <f t="shared" si="8"/>
        <v>0</v>
      </c>
      <c r="AE9" s="189"/>
      <c r="AG9" s="281"/>
      <c r="AH9" s="194">
        <v>4</v>
      </c>
      <c r="AI9" s="195">
        <f>IFERROR(GETPIVOTDATA("Amount",'22-23 F195 ExpendPivot'!$A$5:$K$2119,"CCDDD",'2022-23 Worksheet A'!$B$6,"Program","29","Activity","21","Object","4"),0)</f>
        <v>0</v>
      </c>
      <c r="AJ9" s="209">
        <v>0</v>
      </c>
      <c r="AK9" s="195">
        <f t="shared" si="4"/>
        <v>0</v>
      </c>
      <c r="AL9" s="196">
        <f t="shared" si="9"/>
        <v>0</v>
      </c>
      <c r="AM9" s="189"/>
    </row>
    <row r="10" spans="1:39">
      <c r="A10" s="281"/>
      <c r="B10" s="194">
        <v>5</v>
      </c>
      <c r="C10" s="195">
        <f>IFERROR(GETPIVOTDATA("Amount",'22-23 F195 ExpendPivot'!$A$5:$K$2119,"CCDDD",'2022-23 Worksheet A'!$B$6,"Program","21","Activity","21","Object","5"),0)</f>
        <v>0</v>
      </c>
      <c r="D10" s="209">
        <v>0</v>
      </c>
      <c r="E10" s="195">
        <f t="shared" si="0"/>
        <v>0</v>
      </c>
      <c r="F10" s="196">
        <f t="shared" si="5"/>
        <v>0</v>
      </c>
      <c r="G10" s="189"/>
      <c r="I10" s="281"/>
      <c r="J10" s="194">
        <v>5</v>
      </c>
      <c r="K10" s="195">
        <f>IFERROR(GETPIVOTDATA("Amount",'22-23 F195 ExpendPivot'!$A$5:$K$2119,"CCDDD",'2022-23 Worksheet A'!$B$6,"Program","23","Activity","21","Object","5"),0)</f>
        <v>0</v>
      </c>
      <c r="L10" s="209">
        <v>0</v>
      </c>
      <c r="M10" s="195">
        <f t="shared" si="1"/>
        <v>0</v>
      </c>
      <c r="N10" s="196">
        <f t="shared" si="6"/>
        <v>0</v>
      </c>
      <c r="O10" s="189"/>
      <c r="Q10" s="281"/>
      <c r="R10" s="194">
        <v>5</v>
      </c>
      <c r="S10" s="195">
        <f>IFERROR(GETPIVOTDATA("Amount",'22-23 F195 ExpendPivot'!$A$5:$K$2119,"CCDDD",'2022-23 Worksheet A'!$B$6,"Program","24","Activity","21","Object","5"),0)</f>
        <v>0</v>
      </c>
      <c r="T10" s="209">
        <v>0</v>
      </c>
      <c r="U10" s="195">
        <f t="shared" si="2"/>
        <v>0</v>
      </c>
      <c r="V10" s="196">
        <f t="shared" si="7"/>
        <v>0</v>
      </c>
      <c r="W10" s="189"/>
      <c r="Y10" s="281"/>
      <c r="Z10" s="194">
        <v>5</v>
      </c>
      <c r="AA10" s="195">
        <f>IFERROR(GETPIVOTDATA("Amount",'22-23 F195 ExpendPivot'!$A$5:$K$2119,"CCDDD",'2022-23 Worksheet A'!$B$6,"Program","26","Activity","21","Object","5"),0)</f>
        <v>0</v>
      </c>
      <c r="AB10" s="209">
        <v>0</v>
      </c>
      <c r="AC10" s="195">
        <f t="shared" si="3"/>
        <v>0</v>
      </c>
      <c r="AD10" s="196">
        <f t="shared" si="8"/>
        <v>0</v>
      </c>
      <c r="AE10" s="189"/>
      <c r="AG10" s="281"/>
      <c r="AH10" s="194">
        <v>5</v>
      </c>
      <c r="AI10" s="195">
        <f>IFERROR(GETPIVOTDATA("Amount",'22-23 F195 ExpendPivot'!$A$5:$K$2119,"CCDDD",'2022-23 Worksheet A'!$B$6,"Program","29","Activity","21","Object","5"),0)</f>
        <v>0</v>
      </c>
      <c r="AJ10" s="209">
        <v>0</v>
      </c>
      <c r="AK10" s="195">
        <f t="shared" si="4"/>
        <v>0</v>
      </c>
      <c r="AL10" s="196">
        <f t="shared" si="9"/>
        <v>0</v>
      </c>
      <c r="AM10" s="189"/>
    </row>
    <row r="11" spans="1:39">
      <c r="A11" s="281"/>
      <c r="B11" s="194">
        <v>7</v>
      </c>
      <c r="C11" s="195">
        <f>IFERROR(GETPIVOTDATA("Amount",'22-23 F195 ExpendPivot'!$A$5:$K$2119,"CCDDD",'2022-23 Worksheet A'!$B$6,"Program","21","Activity","21","Object","7"),0)</f>
        <v>0</v>
      </c>
      <c r="D11" s="209">
        <v>0</v>
      </c>
      <c r="E11" s="195">
        <f t="shared" si="0"/>
        <v>0</v>
      </c>
      <c r="F11" s="196">
        <f t="shared" si="5"/>
        <v>0</v>
      </c>
      <c r="G11" s="189"/>
      <c r="I11" s="281"/>
      <c r="J11" s="194">
        <v>7</v>
      </c>
      <c r="K11" s="195">
        <f>IFERROR(GETPIVOTDATA("Amount",'22-23 F195 ExpendPivot'!$A$5:$K$2119,"CCDDD",'2022-23 Worksheet A'!$B$6,"Program","23","Activity","21","Object","7"),0)</f>
        <v>0</v>
      </c>
      <c r="L11" s="209">
        <v>0</v>
      </c>
      <c r="M11" s="195">
        <f t="shared" si="1"/>
        <v>0</v>
      </c>
      <c r="N11" s="196">
        <f t="shared" si="6"/>
        <v>0</v>
      </c>
      <c r="O11" s="189"/>
      <c r="Q11" s="281"/>
      <c r="R11" s="194">
        <v>7</v>
      </c>
      <c r="S11" s="195">
        <f>IFERROR(GETPIVOTDATA("Amount",'22-23 F195 ExpendPivot'!$A$5:$K$2119,"CCDDD",'2022-23 Worksheet A'!$B$6,"Program","24","Activity","21","Object","7"),0)</f>
        <v>0</v>
      </c>
      <c r="T11" s="209">
        <v>0</v>
      </c>
      <c r="U11" s="195">
        <f t="shared" si="2"/>
        <v>0</v>
      </c>
      <c r="V11" s="196">
        <f t="shared" si="7"/>
        <v>0</v>
      </c>
      <c r="W11" s="189"/>
      <c r="Y11" s="281"/>
      <c r="Z11" s="194">
        <v>7</v>
      </c>
      <c r="AA11" s="195">
        <f>IFERROR(GETPIVOTDATA("Amount",'22-23 F195 ExpendPivot'!$A$5:$K$2119,"CCDDD",'2022-23 Worksheet A'!$B$6,"Program","26","Activity","21","Object","7"),0)</f>
        <v>0</v>
      </c>
      <c r="AB11" s="209">
        <v>0</v>
      </c>
      <c r="AC11" s="195">
        <f t="shared" si="3"/>
        <v>0</v>
      </c>
      <c r="AD11" s="196">
        <f t="shared" si="8"/>
        <v>0</v>
      </c>
      <c r="AE11" s="189"/>
      <c r="AG11" s="281"/>
      <c r="AH11" s="194">
        <v>7</v>
      </c>
      <c r="AI11" s="195">
        <f>IFERROR(GETPIVOTDATA("Amount",'22-23 F195 ExpendPivot'!$A$5:$K$2119,"CCDDD",'2022-23 Worksheet A'!$B$6,"Program","29","Activity","21","Object","7"),0)</f>
        <v>0</v>
      </c>
      <c r="AJ11" s="209">
        <v>0</v>
      </c>
      <c r="AK11" s="195">
        <f t="shared" si="4"/>
        <v>0</v>
      </c>
      <c r="AL11" s="196">
        <f t="shared" si="9"/>
        <v>0</v>
      </c>
      <c r="AM11" s="189"/>
    </row>
    <row r="12" spans="1:39">
      <c r="A12" s="281"/>
      <c r="B12" s="194">
        <v>8</v>
      </c>
      <c r="C12" s="195">
        <f>IFERROR(GETPIVOTDATA("Amount",'22-23 F195 ExpendPivot'!$A$5:$K$2119,"CCDDD",'2022-23 Worksheet A'!$B$6,"Program","21","Activity","21","Object","8"),0)</f>
        <v>0</v>
      </c>
      <c r="D12" s="209">
        <v>0</v>
      </c>
      <c r="E12" s="195">
        <f t="shared" si="0"/>
        <v>0</v>
      </c>
      <c r="F12" s="196">
        <f t="shared" si="5"/>
        <v>0</v>
      </c>
      <c r="G12" s="189"/>
      <c r="I12" s="281"/>
      <c r="J12" s="194">
        <v>8</v>
      </c>
      <c r="K12" s="195">
        <f>IFERROR(GETPIVOTDATA("Amount",'22-23 F195 ExpendPivot'!$A$5:$K$2119,"CCDDD",'2022-23 Worksheet A'!$B$6,"Program","23","Activity","21","Object","8"),0)</f>
        <v>0</v>
      </c>
      <c r="L12" s="209">
        <v>0</v>
      </c>
      <c r="M12" s="195">
        <f t="shared" si="1"/>
        <v>0</v>
      </c>
      <c r="N12" s="196">
        <f t="shared" si="6"/>
        <v>0</v>
      </c>
      <c r="O12" s="189"/>
      <c r="Q12" s="281"/>
      <c r="R12" s="194">
        <v>8</v>
      </c>
      <c r="S12" s="195">
        <f>IFERROR(GETPIVOTDATA("Amount",'22-23 F195 ExpendPivot'!$A$5:$K$2119,"CCDDD",'2022-23 Worksheet A'!$B$6,"Program","24","Activity","21","Object","8"),0)</f>
        <v>0</v>
      </c>
      <c r="T12" s="209">
        <v>0</v>
      </c>
      <c r="U12" s="195">
        <f t="shared" si="2"/>
        <v>0</v>
      </c>
      <c r="V12" s="196">
        <f t="shared" si="7"/>
        <v>0</v>
      </c>
      <c r="W12" s="189"/>
      <c r="Y12" s="281"/>
      <c r="Z12" s="194">
        <v>8</v>
      </c>
      <c r="AA12" s="195">
        <f>IFERROR(GETPIVOTDATA("Amount",'22-23 F195 ExpendPivot'!$A$5:$K$2119,"CCDDD",'2022-23 Worksheet A'!$B$6,"Program","26","Activity","21","Object","8"),0)</f>
        <v>0</v>
      </c>
      <c r="AB12" s="209">
        <v>0</v>
      </c>
      <c r="AC12" s="195">
        <f t="shared" si="3"/>
        <v>0</v>
      </c>
      <c r="AD12" s="196">
        <f t="shared" si="8"/>
        <v>0</v>
      </c>
      <c r="AE12" s="189"/>
      <c r="AG12" s="281"/>
      <c r="AH12" s="194">
        <v>8</v>
      </c>
      <c r="AI12" s="195">
        <f>IFERROR(GETPIVOTDATA("Amount",'22-23 F195 ExpendPivot'!$A$5:$K$2119,"CCDDD",'2022-23 Worksheet A'!$B$6,"Program","29","Activity","21","Object","8"),0)</f>
        <v>0</v>
      </c>
      <c r="AJ12" s="209">
        <v>0</v>
      </c>
      <c r="AK12" s="195">
        <f t="shared" si="4"/>
        <v>0</v>
      </c>
      <c r="AL12" s="196">
        <f t="shared" si="9"/>
        <v>0</v>
      </c>
      <c r="AM12" s="189"/>
    </row>
    <row r="13" spans="1:39">
      <c r="A13" s="281"/>
      <c r="B13" s="194">
        <v>9</v>
      </c>
      <c r="C13" s="195">
        <f>IFERROR(GETPIVOTDATA("Amount",'22-23 F195 ExpendPivot'!$A$5:$K$2119,"CCDDD",'2022-23 Worksheet A'!$B$6,"Program","21","Activity","21","Object","9"),0)</f>
        <v>0</v>
      </c>
      <c r="D13" s="209">
        <v>0</v>
      </c>
      <c r="E13" s="195">
        <f t="shared" si="0"/>
        <v>0</v>
      </c>
      <c r="F13" s="196">
        <f t="shared" si="5"/>
        <v>0</v>
      </c>
      <c r="G13" s="189"/>
      <c r="I13" s="281"/>
      <c r="J13" s="194">
        <v>9</v>
      </c>
      <c r="K13" s="195">
        <f>IFERROR(GETPIVOTDATA("Amount",'22-23 F195 ExpendPivot'!$A$5:$K$2119,"CCDDD",'2022-23 Worksheet A'!$B$6,"Program","23","Activity","21","Object","9"),0)</f>
        <v>0</v>
      </c>
      <c r="L13" s="209">
        <v>0</v>
      </c>
      <c r="M13" s="195">
        <f t="shared" si="1"/>
        <v>0</v>
      </c>
      <c r="N13" s="196">
        <f t="shared" si="6"/>
        <v>0</v>
      </c>
      <c r="O13" s="189"/>
      <c r="Q13" s="281"/>
      <c r="R13" s="194">
        <v>9</v>
      </c>
      <c r="S13" s="195">
        <f>IFERROR(GETPIVOTDATA("Amount",'22-23 F195 ExpendPivot'!$A$5:$K$2119,"CCDDD",'2022-23 Worksheet A'!$B$6,"Program","24","Activity","21","Object","9"),0)</f>
        <v>0</v>
      </c>
      <c r="T13" s="209">
        <v>0</v>
      </c>
      <c r="U13" s="195">
        <f t="shared" si="2"/>
        <v>0</v>
      </c>
      <c r="V13" s="196">
        <f t="shared" si="7"/>
        <v>0</v>
      </c>
      <c r="W13" s="189"/>
      <c r="Y13" s="281"/>
      <c r="Z13" s="194">
        <v>9</v>
      </c>
      <c r="AA13" s="195">
        <f>IFERROR(GETPIVOTDATA("Amount",'22-23 F195 ExpendPivot'!$A$5:$K$2119,"CCDDD",'2022-23 Worksheet A'!$B$6,"Program","26","Activity","21","Object","9"),0)</f>
        <v>0</v>
      </c>
      <c r="AB13" s="209">
        <v>0</v>
      </c>
      <c r="AC13" s="195">
        <f t="shared" si="3"/>
        <v>0</v>
      </c>
      <c r="AD13" s="196">
        <f t="shared" si="8"/>
        <v>0</v>
      </c>
      <c r="AE13" s="189"/>
      <c r="AG13" s="281"/>
      <c r="AH13" s="194">
        <v>9</v>
      </c>
      <c r="AI13" s="195">
        <f>IFERROR(GETPIVOTDATA("Amount",'22-23 F195 ExpendPivot'!$A$5:$K$2119,"CCDDD",'2022-23 Worksheet A'!$B$6,"Program","29","Activity","21","Object","9"),0)</f>
        <v>0</v>
      </c>
      <c r="AJ13" s="209">
        <v>0</v>
      </c>
      <c r="AK13" s="195">
        <f t="shared" si="4"/>
        <v>0</v>
      </c>
      <c r="AL13" s="196">
        <f t="shared" si="9"/>
        <v>0</v>
      </c>
      <c r="AM13" s="189"/>
    </row>
    <row r="14" spans="1:39">
      <c r="A14" s="282"/>
      <c r="B14" s="210"/>
      <c r="C14" s="211">
        <f>SUM(C6:C13)</f>
        <v>0</v>
      </c>
      <c r="D14" s="211">
        <f>SUM(D6:D13)</f>
        <v>0</v>
      </c>
      <c r="E14" s="211">
        <f>SUM(E6:E13)</f>
        <v>0</v>
      </c>
      <c r="F14" s="212"/>
      <c r="G14" s="213"/>
      <c r="I14" s="282"/>
      <c r="J14" s="210"/>
      <c r="K14" s="211">
        <f>SUM(K6:K13)</f>
        <v>0</v>
      </c>
      <c r="L14" s="211">
        <f>SUM(L6:L13)</f>
        <v>0</v>
      </c>
      <c r="M14" s="211">
        <f>SUM(M6:M13)</f>
        <v>0</v>
      </c>
      <c r="N14" s="212"/>
      <c r="O14" s="213"/>
      <c r="Q14" s="282"/>
      <c r="R14" s="210"/>
      <c r="S14" s="211">
        <f>SUM(S6:S13)</f>
        <v>0</v>
      </c>
      <c r="T14" s="211">
        <f>SUM(T6:T13)</f>
        <v>0</v>
      </c>
      <c r="U14" s="211">
        <f>SUM(U6:U13)</f>
        <v>0</v>
      </c>
      <c r="V14" s="212"/>
      <c r="W14" s="213"/>
      <c r="Y14" s="282"/>
      <c r="Z14" s="210"/>
      <c r="AA14" s="211">
        <f>SUM(AA6:AA13)</f>
        <v>0</v>
      </c>
      <c r="AB14" s="211">
        <f>SUM(AB6:AB13)</f>
        <v>0</v>
      </c>
      <c r="AC14" s="211">
        <f>SUM(AC6:AC13)</f>
        <v>0</v>
      </c>
      <c r="AD14" s="212"/>
      <c r="AE14" s="213"/>
      <c r="AG14" s="282"/>
      <c r="AH14" s="210"/>
      <c r="AI14" s="211">
        <f>SUM(AI6:AI13)</f>
        <v>0</v>
      </c>
      <c r="AJ14" s="211">
        <f>SUM(AJ6:AJ13)</f>
        <v>0</v>
      </c>
      <c r="AK14" s="211">
        <f>SUM(AK6:AK13)</f>
        <v>0</v>
      </c>
      <c r="AL14" s="212"/>
      <c r="AM14" s="213"/>
    </row>
    <row r="15" spans="1:39">
      <c r="A15" s="280">
        <v>22</v>
      </c>
      <c r="B15" s="190">
        <v>0</v>
      </c>
      <c r="C15" s="191">
        <f>IFERROR(GETPIVOTDATA("Amount",'22-23 F195 ExpendPivot'!$A$5:$K$2119,"CCDDD",'2022-23 Worksheet A'!$B$6,"Program","21","Activity","22","Object","0"),0)</f>
        <v>0</v>
      </c>
      <c r="D15" s="208">
        <v>0</v>
      </c>
      <c r="E15" s="191">
        <f t="shared" ref="E15:E22" si="10">D15/$D$3*12</f>
        <v>0</v>
      </c>
      <c r="F15" s="192">
        <f>IFERROR((E15-C15)/C15,0)</f>
        <v>0</v>
      </c>
      <c r="G15" s="193"/>
      <c r="I15" s="280">
        <v>22</v>
      </c>
      <c r="J15" s="190">
        <v>0</v>
      </c>
      <c r="K15" s="191">
        <f>IFERROR(GETPIVOTDATA("Amount",'22-23 F195 ExpendPivot'!$A$5:$K$2119,"CCDDD",'2022-23 Worksheet A'!$B$6,"Program","23","Activity","22","Object","0"),0)</f>
        <v>0</v>
      </c>
      <c r="L15" s="208">
        <v>0</v>
      </c>
      <c r="M15" s="191">
        <f t="shared" ref="M15:M22" si="11">L15/$D$3*12</f>
        <v>0</v>
      </c>
      <c r="N15" s="192">
        <f>IFERROR((M15-K15)/K15,0)</f>
        <v>0</v>
      </c>
      <c r="O15" s="193"/>
      <c r="Q15" s="280">
        <v>22</v>
      </c>
      <c r="R15" s="190">
        <v>0</v>
      </c>
      <c r="S15" s="191">
        <f>IFERROR(GETPIVOTDATA("Amount",'22-23 F195 ExpendPivot'!$A$5:$K$2119,"CCDDD",'2022-23 Worksheet A'!$B$6,"Program","24","Activity","22","Object","0"),0)</f>
        <v>0</v>
      </c>
      <c r="T15" s="208">
        <v>0</v>
      </c>
      <c r="U15" s="191">
        <f t="shared" ref="U15:U22" si="12">T15/$D$3*12</f>
        <v>0</v>
      </c>
      <c r="V15" s="192">
        <f>IFERROR((U15-S15)/S15,0)</f>
        <v>0</v>
      </c>
      <c r="W15" s="193"/>
      <c r="Y15" s="280">
        <v>22</v>
      </c>
      <c r="Z15" s="190">
        <v>0</v>
      </c>
      <c r="AA15" s="191">
        <f>IFERROR(GETPIVOTDATA("Amount",'22-23 F195 ExpendPivot'!$A$5:$K$2119,"CCDDD",'2022-23 Worksheet A'!$B$6,"Program","26","Activity","22","Object","0"),0)</f>
        <v>0</v>
      </c>
      <c r="AB15" s="208">
        <v>0</v>
      </c>
      <c r="AC15" s="191">
        <f t="shared" ref="AC15:AC22" si="13">AB15/$D$3*12</f>
        <v>0</v>
      </c>
      <c r="AD15" s="192">
        <f>IFERROR((AC15-AA15)/AA15,0)</f>
        <v>0</v>
      </c>
      <c r="AE15" s="193"/>
      <c r="AG15" s="280">
        <v>22</v>
      </c>
      <c r="AH15" s="190">
        <v>0</v>
      </c>
      <c r="AI15" s="191">
        <f>IFERROR(GETPIVOTDATA("Amount",'22-23 F195 ExpendPivot'!$A$5:$K$2119,"CCDDD",'2022-23 Worksheet A'!$B$6,"Program","29","Activity","22","Object","0"),0)</f>
        <v>0</v>
      </c>
      <c r="AJ15" s="208">
        <v>0</v>
      </c>
      <c r="AK15" s="191">
        <f t="shared" ref="AK15:AK22" si="14">AJ15/$D$3*12</f>
        <v>0</v>
      </c>
      <c r="AL15" s="192">
        <f>IFERROR((AK15-AI15)/AI15,0)</f>
        <v>0</v>
      </c>
      <c r="AM15" s="193"/>
    </row>
    <row r="16" spans="1:39">
      <c r="A16" s="281"/>
      <c r="B16" s="194">
        <v>2</v>
      </c>
      <c r="C16" s="195">
        <f>IFERROR(GETPIVOTDATA("Amount",'22-23 F195 ExpendPivot'!$A$5:$K$2119,"CCDDD",'2022-23 Worksheet A'!$B$6,"Program","21","Activity","22","Object","2"),0)</f>
        <v>0</v>
      </c>
      <c r="D16" s="209">
        <v>0</v>
      </c>
      <c r="E16" s="195">
        <f t="shared" si="10"/>
        <v>0</v>
      </c>
      <c r="F16" s="196">
        <f t="shared" si="5"/>
        <v>0</v>
      </c>
      <c r="G16" s="189"/>
      <c r="I16" s="281"/>
      <c r="J16" s="194">
        <v>2</v>
      </c>
      <c r="K16" s="195">
        <f>IFERROR(GETPIVOTDATA("Amount",'22-23 F195 ExpendPivot'!$A$5:$K$2119,"CCDDD",'2022-23 Worksheet A'!$B$6,"Program","23","Activity","22","Object","2"),0)</f>
        <v>0</v>
      </c>
      <c r="L16" s="209">
        <v>0</v>
      </c>
      <c r="M16" s="195">
        <f t="shared" si="11"/>
        <v>0</v>
      </c>
      <c r="N16" s="196">
        <f t="shared" ref="N16:N22" si="15">IFERROR((M16-K16)/K16,0)</f>
        <v>0</v>
      </c>
      <c r="O16" s="189"/>
      <c r="Q16" s="281"/>
      <c r="R16" s="194">
        <v>2</v>
      </c>
      <c r="S16" s="195">
        <f>IFERROR(GETPIVOTDATA("Amount",'22-23 F195 ExpendPivot'!$A$5:$K$2119,"CCDDD",'2022-23 Worksheet A'!$B$6,"Program","24","Activity","22","Object","2"),0)</f>
        <v>0</v>
      </c>
      <c r="T16" s="209">
        <v>0</v>
      </c>
      <c r="U16" s="195">
        <f t="shared" si="12"/>
        <v>0</v>
      </c>
      <c r="V16" s="196">
        <f t="shared" si="7"/>
        <v>0</v>
      </c>
      <c r="W16" s="189"/>
      <c r="Y16" s="281"/>
      <c r="Z16" s="194">
        <v>2</v>
      </c>
      <c r="AA16" s="195">
        <f>IFERROR(GETPIVOTDATA("Amount",'22-23 F195 ExpendPivot'!$A$5:$K$2119,"CCDDD",'2022-23 Worksheet A'!$B$6,"Program","26","Activity","22","Object","2"),0)</f>
        <v>0</v>
      </c>
      <c r="AB16" s="209">
        <v>0</v>
      </c>
      <c r="AC16" s="195">
        <f t="shared" si="13"/>
        <v>0</v>
      </c>
      <c r="AD16" s="196">
        <f t="shared" si="8"/>
        <v>0</v>
      </c>
      <c r="AE16" s="189"/>
      <c r="AG16" s="281"/>
      <c r="AH16" s="194">
        <v>2</v>
      </c>
      <c r="AI16" s="195">
        <f>IFERROR(GETPIVOTDATA("Amount",'22-23 F195 ExpendPivot'!$A$5:$K$2119,"CCDDD",'2022-23 Worksheet A'!$B$6,"Program","29","Activity","22","Object","2"),0)</f>
        <v>0</v>
      </c>
      <c r="AJ16" s="209">
        <v>0</v>
      </c>
      <c r="AK16" s="195">
        <f t="shared" si="14"/>
        <v>0</v>
      </c>
      <c r="AL16" s="196">
        <f t="shared" si="9"/>
        <v>0</v>
      </c>
      <c r="AM16" s="189"/>
    </row>
    <row r="17" spans="1:39">
      <c r="A17" s="281"/>
      <c r="B17" s="194">
        <v>3</v>
      </c>
      <c r="C17" s="195">
        <f>IFERROR(GETPIVOTDATA("Amount",'22-23 F195 ExpendPivot'!$A$5:$K$2119,"CCDDD",'2022-23 Worksheet A'!$B$6,"Program","21","Activity","22","Object","3"),0)</f>
        <v>0</v>
      </c>
      <c r="D17" s="209">
        <v>0</v>
      </c>
      <c r="E17" s="195">
        <f t="shared" si="10"/>
        <v>0</v>
      </c>
      <c r="F17" s="196">
        <f t="shared" si="5"/>
        <v>0</v>
      </c>
      <c r="G17" s="189"/>
      <c r="I17" s="281"/>
      <c r="J17" s="194">
        <v>3</v>
      </c>
      <c r="K17" s="195">
        <f>IFERROR(GETPIVOTDATA("Amount",'22-23 F195 ExpendPivot'!$A$5:$K$2119,"CCDDD",'2022-23 Worksheet A'!$B$6,"Program","23","Activity","22","Object","3"),0)</f>
        <v>0</v>
      </c>
      <c r="L17" s="209">
        <v>0</v>
      </c>
      <c r="M17" s="195">
        <f t="shared" si="11"/>
        <v>0</v>
      </c>
      <c r="N17" s="196">
        <f t="shared" si="15"/>
        <v>0</v>
      </c>
      <c r="O17" s="189"/>
      <c r="Q17" s="281"/>
      <c r="R17" s="194">
        <v>3</v>
      </c>
      <c r="S17" s="195">
        <f>IFERROR(GETPIVOTDATA("Amount",'22-23 F195 ExpendPivot'!$A$5:$K$2119,"CCDDD",'2022-23 Worksheet A'!$B$6,"Program","24","Activity","22","Object","3"),0)</f>
        <v>0</v>
      </c>
      <c r="T17" s="209">
        <v>0</v>
      </c>
      <c r="U17" s="195">
        <f t="shared" si="12"/>
        <v>0</v>
      </c>
      <c r="V17" s="196">
        <f t="shared" si="7"/>
        <v>0</v>
      </c>
      <c r="W17" s="189"/>
      <c r="Y17" s="281"/>
      <c r="Z17" s="194">
        <v>3</v>
      </c>
      <c r="AA17" s="195">
        <f>IFERROR(GETPIVOTDATA("Amount",'22-23 F195 ExpendPivot'!$A$5:$K$2119,"CCDDD",'2022-23 Worksheet A'!$B$6,"Program","26","Activity","22","Object","3"),0)</f>
        <v>0</v>
      </c>
      <c r="AB17" s="209">
        <v>0</v>
      </c>
      <c r="AC17" s="195">
        <f t="shared" si="13"/>
        <v>0</v>
      </c>
      <c r="AD17" s="196">
        <f t="shared" si="8"/>
        <v>0</v>
      </c>
      <c r="AE17" s="189"/>
      <c r="AG17" s="281"/>
      <c r="AH17" s="194">
        <v>3</v>
      </c>
      <c r="AI17" s="195">
        <f>IFERROR(GETPIVOTDATA("Amount",'22-23 F195 ExpendPivot'!$A$5:$K$2119,"CCDDD",'2022-23 Worksheet A'!$B$6,"Program","29","Activity","22","Object","3"),0)</f>
        <v>0</v>
      </c>
      <c r="AJ17" s="209">
        <v>0</v>
      </c>
      <c r="AK17" s="195">
        <f t="shared" si="14"/>
        <v>0</v>
      </c>
      <c r="AL17" s="196">
        <f t="shared" si="9"/>
        <v>0</v>
      </c>
      <c r="AM17" s="189"/>
    </row>
    <row r="18" spans="1:39">
      <c r="A18" s="281"/>
      <c r="B18" s="194">
        <v>4</v>
      </c>
      <c r="C18" s="195">
        <f>IFERROR(GETPIVOTDATA("Amount",'22-23 F195 ExpendPivot'!$A$5:$K$2119,"CCDDD",'2022-23 Worksheet A'!$B$6,"Program","21","Activity","22","Object","4"),0)</f>
        <v>0</v>
      </c>
      <c r="D18" s="209">
        <v>0</v>
      </c>
      <c r="E18" s="195">
        <f t="shared" si="10"/>
        <v>0</v>
      </c>
      <c r="F18" s="196">
        <f t="shared" si="5"/>
        <v>0</v>
      </c>
      <c r="G18" s="189"/>
      <c r="I18" s="281"/>
      <c r="J18" s="194">
        <v>4</v>
      </c>
      <c r="K18" s="195">
        <f>IFERROR(GETPIVOTDATA("Amount",'22-23 F195 ExpendPivot'!$A$5:$K$2119,"CCDDD",'2022-23 Worksheet A'!$B$6,"Program","23","Activity","22","Object","4"),0)</f>
        <v>0</v>
      </c>
      <c r="L18" s="209">
        <v>0</v>
      </c>
      <c r="M18" s="195">
        <f t="shared" si="11"/>
        <v>0</v>
      </c>
      <c r="N18" s="196">
        <f t="shared" si="15"/>
        <v>0</v>
      </c>
      <c r="O18" s="189"/>
      <c r="Q18" s="281"/>
      <c r="R18" s="194">
        <v>4</v>
      </c>
      <c r="S18" s="195">
        <f>IFERROR(GETPIVOTDATA("Amount",'22-23 F195 ExpendPivot'!$A$5:$K$2119,"CCDDD",'2022-23 Worksheet A'!$B$6,"Program","24","Activity","22","Object","4"),0)</f>
        <v>0</v>
      </c>
      <c r="T18" s="209">
        <v>0</v>
      </c>
      <c r="U18" s="195">
        <f t="shared" si="12"/>
        <v>0</v>
      </c>
      <c r="V18" s="196">
        <f t="shared" si="7"/>
        <v>0</v>
      </c>
      <c r="W18" s="189"/>
      <c r="Y18" s="281"/>
      <c r="Z18" s="194">
        <v>4</v>
      </c>
      <c r="AA18" s="195">
        <f>IFERROR(GETPIVOTDATA("Amount",'22-23 F195 ExpendPivot'!$A$5:$K$2119,"CCDDD",'2022-23 Worksheet A'!$B$6,"Program","26","Activity","22","Object","4"),0)</f>
        <v>0</v>
      </c>
      <c r="AB18" s="209">
        <v>0</v>
      </c>
      <c r="AC18" s="195">
        <f t="shared" si="13"/>
        <v>0</v>
      </c>
      <c r="AD18" s="196">
        <f t="shared" si="8"/>
        <v>0</v>
      </c>
      <c r="AE18" s="189"/>
      <c r="AG18" s="281"/>
      <c r="AH18" s="194">
        <v>4</v>
      </c>
      <c r="AI18" s="195">
        <f>IFERROR(GETPIVOTDATA("Amount",'22-23 F195 ExpendPivot'!$A$5:$K$2119,"CCDDD",'2022-23 Worksheet A'!$B$6,"Program","29","Activity","22","Object","4"),0)</f>
        <v>0</v>
      </c>
      <c r="AJ18" s="209">
        <v>0</v>
      </c>
      <c r="AK18" s="195">
        <f t="shared" si="14"/>
        <v>0</v>
      </c>
      <c r="AL18" s="196">
        <f t="shared" si="9"/>
        <v>0</v>
      </c>
      <c r="AM18" s="189"/>
    </row>
    <row r="19" spans="1:39">
      <c r="A19" s="281"/>
      <c r="B19" s="194">
        <v>5</v>
      </c>
      <c r="C19" s="195">
        <f>IFERROR(GETPIVOTDATA("Amount",'22-23 F195 ExpendPivot'!$A$5:$K$2119,"CCDDD",'2022-23 Worksheet A'!$B$6,"Program","21","Activity","22","Object","5"),0)</f>
        <v>0</v>
      </c>
      <c r="D19" s="209">
        <v>0</v>
      </c>
      <c r="E19" s="195">
        <f t="shared" si="10"/>
        <v>0</v>
      </c>
      <c r="F19" s="196">
        <f t="shared" si="5"/>
        <v>0</v>
      </c>
      <c r="G19" s="189"/>
      <c r="I19" s="281"/>
      <c r="J19" s="194">
        <v>5</v>
      </c>
      <c r="K19" s="195">
        <f>IFERROR(GETPIVOTDATA("Amount",'22-23 F195 ExpendPivot'!$A$5:$K$2119,"CCDDD",'2022-23 Worksheet A'!$B$6,"Program","23","Activity","22","Object","5"),0)</f>
        <v>0</v>
      </c>
      <c r="L19" s="209">
        <v>0</v>
      </c>
      <c r="M19" s="195">
        <f t="shared" si="11"/>
        <v>0</v>
      </c>
      <c r="N19" s="196">
        <f t="shared" si="15"/>
        <v>0</v>
      </c>
      <c r="O19" s="189"/>
      <c r="Q19" s="281"/>
      <c r="R19" s="194">
        <v>5</v>
      </c>
      <c r="S19" s="195">
        <f>IFERROR(GETPIVOTDATA("Amount",'22-23 F195 ExpendPivot'!$A$5:$K$2119,"CCDDD",'2022-23 Worksheet A'!$B$6,"Program","24","Activity","22","Object","5"),0)</f>
        <v>0</v>
      </c>
      <c r="T19" s="209">
        <v>0</v>
      </c>
      <c r="U19" s="195">
        <f t="shared" si="12"/>
        <v>0</v>
      </c>
      <c r="V19" s="196">
        <f t="shared" si="7"/>
        <v>0</v>
      </c>
      <c r="W19" s="189"/>
      <c r="Y19" s="281"/>
      <c r="Z19" s="194">
        <v>5</v>
      </c>
      <c r="AA19" s="195">
        <f>IFERROR(GETPIVOTDATA("Amount",'22-23 F195 ExpendPivot'!$A$5:$K$2119,"CCDDD",'2022-23 Worksheet A'!$B$6,"Program","26","Activity","22","Object","5"),0)</f>
        <v>0</v>
      </c>
      <c r="AB19" s="209">
        <v>0</v>
      </c>
      <c r="AC19" s="195">
        <f t="shared" si="13"/>
        <v>0</v>
      </c>
      <c r="AD19" s="196">
        <f t="shared" si="8"/>
        <v>0</v>
      </c>
      <c r="AE19" s="189"/>
      <c r="AG19" s="281"/>
      <c r="AH19" s="194">
        <v>5</v>
      </c>
      <c r="AI19" s="195">
        <f>IFERROR(GETPIVOTDATA("Amount",'22-23 F195 ExpendPivot'!$A$5:$K$2119,"CCDDD",'2022-23 Worksheet A'!$B$6,"Program","29","Activity","22","Object","5"),0)</f>
        <v>0</v>
      </c>
      <c r="AJ19" s="209">
        <v>0</v>
      </c>
      <c r="AK19" s="195">
        <f t="shared" si="14"/>
        <v>0</v>
      </c>
      <c r="AL19" s="196">
        <f t="shared" si="9"/>
        <v>0</v>
      </c>
      <c r="AM19" s="189"/>
    </row>
    <row r="20" spans="1:39">
      <c r="A20" s="281"/>
      <c r="B20" s="194">
        <v>7</v>
      </c>
      <c r="C20" s="195">
        <f>IFERROR(GETPIVOTDATA("Amount",'22-23 F195 ExpendPivot'!$A$5:$K$2119,"CCDDD",'2022-23 Worksheet A'!$B$6,"Program","21","Activity","22","Object","7"),0)</f>
        <v>0</v>
      </c>
      <c r="D20" s="209">
        <v>0</v>
      </c>
      <c r="E20" s="195">
        <f t="shared" si="10"/>
        <v>0</v>
      </c>
      <c r="F20" s="196">
        <f t="shared" si="5"/>
        <v>0</v>
      </c>
      <c r="G20" s="189"/>
      <c r="I20" s="281"/>
      <c r="J20" s="194">
        <v>7</v>
      </c>
      <c r="K20" s="195">
        <f>IFERROR(GETPIVOTDATA("Amount",'22-23 F195 ExpendPivot'!$A$5:$K$2119,"CCDDD",'2022-23 Worksheet A'!$B$6,"Program","23","Activity","22","Object","7"),0)</f>
        <v>0</v>
      </c>
      <c r="L20" s="209">
        <v>0</v>
      </c>
      <c r="M20" s="195">
        <f t="shared" si="11"/>
        <v>0</v>
      </c>
      <c r="N20" s="196">
        <f t="shared" si="15"/>
        <v>0</v>
      </c>
      <c r="O20" s="189"/>
      <c r="Q20" s="281"/>
      <c r="R20" s="194">
        <v>7</v>
      </c>
      <c r="S20" s="195">
        <f>IFERROR(GETPIVOTDATA("Amount",'22-23 F195 ExpendPivot'!$A$5:$K$2119,"CCDDD",'2022-23 Worksheet A'!$B$6,"Program","24","Activity","22","Object","7"),0)</f>
        <v>0</v>
      </c>
      <c r="T20" s="209">
        <v>0</v>
      </c>
      <c r="U20" s="195">
        <f t="shared" si="12"/>
        <v>0</v>
      </c>
      <c r="V20" s="196">
        <f t="shared" si="7"/>
        <v>0</v>
      </c>
      <c r="W20" s="189"/>
      <c r="Y20" s="281"/>
      <c r="Z20" s="194">
        <v>7</v>
      </c>
      <c r="AA20" s="195">
        <f>IFERROR(GETPIVOTDATA("Amount",'22-23 F195 ExpendPivot'!$A$5:$K$2119,"CCDDD",'2022-23 Worksheet A'!$B$6,"Program","26","Activity","22","Object","7"),0)</f>
        <v>0</v>
      </c>
      <c r="AB20" s="209">
        <v>0</v>
      </c>
      <c r="AC20" s="195">
        <f t="shared" si="13"/>
        <v>0</v>
      </c>
      <c r="AD20" s="196">
        <f t="shared" si="8"/>
        <v>0</v>
      </c>
      <c r="AE20" s="189"/>
      <c r="AG20" s="281"/>
      <c r="AH20" s="194">
        <v>7</v>
      </c>
      <c r="AI20" s="195">
        <f>IFERROR(GETPIVOTDATA("Amount",'22-23 F195 ExpendPivot'!$A$5:$K$2119,"CCDDD",'2022-23 Worksheet A'!$B$6,"Program","29","Activity","22","Object","7"),0)</f>
        <v>0</v>
      </c>
      <c r="AJ20" s="209">
        <v>0</v>
      </c>
      <c r="AK20" s="195">
        <f t="shared" si="14"/>
        <v>0</v>
      </c>
      <c r="AL20" s="196">
        <f t="shared" si="9"/>
        <v>0</v>
      </c>
      <c r="AM20" s="189"/>
    </row>
    <row r="21" spans="1:39">
      <c r="A21" s="281"/>
      <c r="B21" s="194">
        <v>8</v>
      </c>
      <c r="C21" s="195">
        <f>IFERROR(GETPIVOTDATA("Amount",'22-23 F195 ExpendPivot'!$A$5:$K$2119,"CCDDD",'2022-23 Worksheet A'!$B$6,"Program","21","Activity","22","Object","8"),0)</f>
        <v>0</v>
      </c>
      <c r="D21" s="209">
        <v>0</v>
      </c>
      <c r="E21" s="195">
        <f t="shared" si="10"/>
        <v>0</v>
      </c>
      <c r="F21" s="196">
        <f t="shared" si="5"/>
        <v>0</v>
      </c>
      <c r="G21" s="189"/>
      <c r="I21" s="281"/>
      <c r="J21" s="194">
        <v>8</v>
      </c>
      <c r="K21" s="195">
        <f>IFERROR(GETPIVOTDATA("Amount",'22-23 F195 ExpendPivot'!$A$5:$K$2119,"CCDDD",'2022-23 Worksheet A'!$B$6,"Program","23","Activity","22","Object","8"),0)</f>
        <v>0</v>
      </c>
      <c r="L21" s="209">
        <v>0</v>
      </c>
      <c r="M21" s="195">
        <f t="shared" si="11"/>
        <v>0</v>
      </c>
      <c r="N21" s="196">
        <f t="shared" si="15"/>
        <v>0</v>
      </c>
      <c r="O21" s="189"/>
      <c r="Q21" s="281"/>
      <c r="R21" s="194">
        <v>8</v>
      </c>
      <c r="S21" s="195">
        <f>IFERROR(GETPIVOTDATA("Amount",'22-23 F195 ExpendPivot'!$A$5:$K$2119,"CCDDD",'2022-23 Worksheet A'!$B$6,"Program","24","Activity","22","Object","8"),0)</f>
        <v>0</v>
      </c>
      <c r="T21" s="209">
        <v>0</v>
      </c>
      <c r="U21" s="195">
        <f t="shared" si="12"/>
        <v>0</v>
      </c>
      <c r="V21" s="196">
        <f t="shared" si="7"/>
        <v>0</v>
      </c>
      <c r="W21" s="189"/>
      <c r="Y21" s="281"/>
      <c r="Z21" s="194">
        <v>8</v>
      </c>
      <c r="AA21" s="195">
        <f>IFERROR(GETPIVOTDATA("Amount",'22-23 F195 ExpendPivot'!$A$5:$K$2119,"CCDDD",'2022-23 Worksheet A'!$B$6,"Program","26","Activity","22","Object","8"),0)</f>
        <v>0</v>
      </c>
      <c r="AB21" s="209">
        <v>0</v>
      </c>
      <c r="AC21" s="195">
        <f t="shared" si="13"/>
        <v>0</v>
      </c>
      <c r="AD21" s="196">
        <f t="shared" si="8"/>
        <v>0</v>
      </c>
      <c r="AE21" s="189"/>
      <c r="AG21" s="281"/>
      <c r="AH21" s="194">
        <v>8</v>
      </c>
      <c r="AI21" s="195">
        <f>IFERROR(GETPIVOTDATA("Amount",'22-23 F195 ExpendPivot'!$A$5:$K$2119,"CCDDD",'2022-23 Worksheet A'!$B$6,"Program","29","Activity","22","Object","8"),0)</f>
        <v>0</v>
      </c>
      <c r="AJ21" s="209">
        <v>0</v>
      </c>
      <c r="AK21" s="195">
        <f t="shared" si="14"/>
        <v>0</v>
      </c>
      <c r="AL21" s="196">
        <f t="shared" si="9"/>
        <v>0</v>
      </c>
      <c r="AM21" s="189"/>
    </row>
    <row r="22" spans="1:39">
      <c r="A22" s="281"/>
      <c r="B22" s="194">
        <v>9</v>
      </c>
      <c r="C22" s="195">
        <f>IFERROR(GETPIVOTDATA("Amount",'22-23 F195 ExpendPivot'!$A$5:$K$2119,"CCDDD",'2022-23 Worksheet A'!$B$6,"Program","21","Activity","22","Object","9"),0)</f>
        <v>0</v>
      </c>
      <c r="D22" s="209">
        <v>0</v>
      </c>
      <c r="E22" s="195">
        <f t="shared" si="10"/>
        <v>0</v>
      </c>
      <c r="F22" s="196">
        <f t="shared" si="5"/>
        <v>0</v>
      </c>
      <c r="G22" s="189"/>
      <c r="I22" s="281"/>
      <c r="J22" s="194">
        <v>9</v>
      </c>
      <c r="K22" s="195">
        <f>IFERROR(GETPIVOTDATA("Amount",'22-23 F195 ExpendPivot'!$A$5:$K$2119,"CCDDD",'2022-23 Worksheet A'!$B$6,"Program","23","Activity","22","Object","9"),0)</f>
        <v>0</v>
      </c>
      <c r="L22" s="209">
        <v>0</v>
      </c>
      <c r="M22" s="195">
        <f t="shared" si="11"/>
        <v>0</v>
      </c>
      <c r="N22" s="196">
        <f t="shared" si="15"/>
        <v>0</v>
      </c>
      <c r="O22" s="189"/>
      <c r="Q22" s="281"/>
      <c r="R22" s="194">
        <v>9</v>
      </c>
      <c r="S22" s="195">
        <f>IFERROR(GETPIVOTDATA("Amount",'22-23 F195 ExpendPivot'!$A$5:$K$2119,"CCDDD",'2022-23 Worksheet A'!$B$6,"Program","24","Activity","22","Object","9"),0)</f>
        <v>0</v>
      </c>
      <c r="T22" s="209">
        <v>0</v>
      </c>
      <c r="U22" s="195">
        <f t="shared" si="12"/>
        <v>0</v>
      </c>
      <c r="V22" s="196">
        <f t="shared" si="7"/>
        <v>0</v>
      </c>
      <c r="W22" s="189"/>
      <c r="Y22" s="281"/>
      <c r="Z22" s="194">
        <v>9</v>
      </c>
      <c r="AA22" s="195">
        <f>IFERROR(GETPIVOTDATA("Amount",'22-23 F195 ExpendPivot'!$A$5:$K$2119,"CCDDD",'2022-23 Worksheet A'!$B$6,"Program","26","Activity","22","Object","9"),0)</f>
        <v>0</v>
      </c>
      <c r="AB22" s="209">
        <v>0</v>
      </c>
      <c r="AC22" s="195">
        <f t="shared" si="13"/>
        <v>0</v>
      </c>
      <c r="AD22" s="196">
        <f t="shared" si="8"/>
        <v>0</v>
      </c>
      <c r="AE22" s="189"/>
      <c r="AG22" s="281"/>
      <c r="AH22" s="194">
        <v>9</v>
      </c>
      <c r="AI22" s="195">
        <f>IFERROR(GETPIVOTDATA("Amount",'22-23 F195 ExpendPivot'!$A$5:$K$2119,"CCDDD",'2022-23 Worksheet A'!$B$6,"Program","29","Activity","22","Object","9"),0)</f>
        <v>0</v>
      </c>
      <c r="AJ22" s="209">
        <v>0</v>
      </c>
      <c r="AK22" s="195">
        <f t="shared" si="14"/>
        <v>0</v>
      </c>
      <c r="AL22" s="196">
        <f t="shared" si="9"/>
        <v>0</v>
      </c>
      <c r="AM22" s="189"/>
    </row>
    <row r="23" spans="1:39">
      <c r="A23" s="282"/>
      <c r="B23" s="210"/>
      <c r="C23" s="211">
        <f>SUM(C15:C22)</f>
        <v>0</v>
      </c>
      <c r="D23" s="211">
        <f>SUM(D15:D22)</f>
        <v>0</v>
      </c>
      <c r="E23" s="211">
        <f>SUM(E15:E22)</f>
        <v>0</v>
      </c>
      <c r="F23" s="212"/>
      <c r="G23" s="213"/>
      <c r="I23" s="282"/>
      <c r="J23" s="210"/>
      <c r="K23" s="211">
        <f>SUM(K15:K22)</f>
        <v>0</v>
      </c>
      <c r="L23" s="211">
        <f>SUM(L15:L22)</f>
        <v>0</v>
      </c>
      <c r="M23" s="211">
        <f>SUM(M15:M22)</f>
        <v>0</v>
      </c>
      <c r="N23" s="212"/>
      <c r="O23" s="213"/>
      <c r="Q23" s="282"/>
      <c r="R23" s="210"/>
      <c r="S23" s="211">
        <f>SUM(S15:S22)</f>
        <v>0</v>
      </c>
      <c r="T23" s="211">
        <f>SUM(T15:T22)</f>
        <v>0</v>
      </c>
      <c r="U23" s="211">
        <f>SUM(U15:U22)</f>
        <v>0</v>
      </c>
      <c r="V23" s="212"/>
      <c r="W23" s="213"/>
      <c r="Y23" s="282"/>
      <c r="Z23" s="210"/>
      <c r="AA23" s="211">
        <f>SUM(AA15:AA22)</f>
        <v>0</v>
      </c>
      <c r="AB23" s="211">
        <f>SUM(AB15:AB22)</f>
        <v>0</v>
      </c>
      <c r="AC23" s="211">
        <f>SUM(AC15:AC22)</f>
        <v>0</v>
      </c>
      <c r="AD23" s="212"/>
      <c r="AE23" s="213"/>
      <c r="AG23" s="282"/>
      <c r="AH23" s="210"/>
      <c r="AI23" s="211">
        <f>SUM(AI15:AI22)</f>
        <v>0</v>
      </c>
      <c r="AJ23" s="211">
        <f>SUM(AJ15:AJ22)</f>
        <v>0</v>
      </c>
      <c r="AK23" s="211">
        <f>SUM(AK15:AK22)</f>
        <v>0</v>
      </c>
      <c r="AL23" s="212"/>
      <c r="AM23" s="213"/>
    </row>
    <row r="24" spans="1:39">
      <c r="A24" s="280">
        <v>23</v>
      </c>
      <c r="B24" s="190">
        <v>0</v>
      </c>
      <c r="C24" s="191">
        <f>IFERROR(GETPIVOTDATA("Amount",'22-23 F195 ExpendPivot'!$A$5:$K$2119,"CCDDD",'2022-23 Worksheet A'!$B$6,"Program","21","Activity","23","Object","0"),0)</f>
        <v>0</v>
      </c>
      <c r="D24" s="208">
        <v>0</v>
      </c>
      <c r="E24" s="191">
        <f t="shared" ref="E24:E31" si="16">D24/$D$3*12</f>
        <v>0</v>
      </c>
      <c r="F24" s="196">
        <f t="shared" si="5"/>
        <v>0</v>
      </c>
      <c r="G24" s="193"/>
      <c r="I24" s="280">
        <v>23</v>
      </c>
      <c r="J24" s="190">
        <v>0</v>
      </c>
      <c r="K24" s="191">
        <f>IFERROR(GETPIVOTDATA("Amount",'22-23 F195 ExpendPivot'!$A$5:$K$2119,"CCDDD",'2022-23 Worksheet A'!$B$6,"Program","23","Activity","22","Object","0"),0)</f>
        <v>0</v>
      </c>
      <c r="L24" s="208">
        <v>0</v>
      </c>
      <c r="M24" s="191">
        <f t="shared" ref="M24:M31" si="17">L24/$D$3*12</f>
        <v>0</v>
      </c>
      <c r="N24" s="192">
        <f t="shared" ref="N24:N31" si="18">IFERROR((M24-K24)/K24,0)</f>
        <v>0</v>
      </c>
      <c r="O24" s="193"/>
      <c r="Q24" s="280">
        <v>23</v>
      </c>
      <c r="R24" s="190">
        <v>0</v>
      </c>
      <c r="S24" s="191">
        <f>IFERROR(GETPIVOTDATA("Amount",'22-23 F195 ExpendPivot'!$A$5:$K$2119,"CCDDD",'2022-23 Worksheet A'!$B$6,"Program","24","Activity","22","Object","0"),0)</f>
        <v>0</v>
      </c>
      <c r="T24" s="208">
        <v>0</v>
      </c>
      <c r="U24" s="191">
        <f t="shared" ref="U24:U31" si="19">T24/$D$3*12</f>
        <v>0</v>
      </c>
      <c r="V24" s="192">
        <f t="shared" si="7"/>
        <v>0</v>
      </c>
      <c r="W24" s="193"/>
      <c r="Y24" s="280">
        <v>23</v>
      </c>
      <c r="Z24" s="190">
        <v>0</v>
      </c>
      <c r="AA24" s="191">
        <f>IFERROR(GETPIVOTDATA("Amount",'22-23 F195 ExpendPivot'!$A$5:$K$2119,"CCDDD",'2022-23 Worksheet A'!$B$6,"Program","26","Activity","23","Object","0"),0)</f>
        <v>0</v>
      </c>
      <c r="AB24" s="208">
        <v>0</v>
      </c>
      <c r="AC24" s="191">
        <f t="shared" ref="AC24:AC31" si="20">AB24/$D$3*12</f>
        <v>0</v>
      </c>
      <c r="AD24" s="192">
        <f t="shared" si="8"/>
        <v>0</v>
      </c>
      <c r="AE24" s="193"/>
      <c r="AG24" s="280">
        <v>23</v>
      </c>
      <c r="AH24" s="190">
        <v>0</v>
      </c>
      <c r="AI24" s="191">
        <f>IFERROR(GETPIVOTDATA("Amount",'22-23 F195 ExpendPivot'!$A$5:$K$2119,"CCDDD",'2022-23 Worksheet A'!$B$6,"Program","29","Activity","23","Object","0"),0)</f>
        <v>0</v>
      </c>
      <c r="AJ24" s="208">
        <v>0</v>
      </c>
      <c r="AK24" s="191">
        <f t="shared" ref="AK24:AK31" si="21">AJ24/$D$3*12</f>
        <v>0</v>
      </c>
      <c r="AL24" s="192">
        <f t="shared" si="9"/>
        <v>0</v>
      </c>
      <c r="AM24" s="193"/>
    </row>
    <row r="25" spans="1:39">
      <c r="A25" s="281"/>
      <c r="B25" s="194">
        <v>2</v>
      </c>
      <c r="C25" s="195">
        <f>IFERROR(GETPIVOTDATA("Amount",'22-23 F195 ExpendPivot'!$A$5:$K$2119,"CCDDD",'2022-23 Worksheet A'!$B$6,"Program","21","Activity","23","Object","2"),0)</f>
        <v>0</v>
      </c>
      <c r="D25" s="209">
        <v>0</v>
      </c>
      <c r="E25" s="195">
        <f t="shared" si="16"/>
        <v>0</v>
      </c>
      <c r="F25" s="196">
        <f t="shared" si="5"/>
        <v>0</v>
      </c>
      <c r="G25" s="189"/>
      <c r="I25" s="281"/>
      <c r="J25" s="194">
        <v>2</v>
      </c>
      <c r="K25" s="195">
        <f>IFERROR(GETPIVOTDATA("Amount",'22-23 F195 ExpendPivot'!$A$5:$K$2119,"CCDDD",'2022-23 Worksheet A'!$B$6,"Program","23","Activity","22","Object","2"),0)</f>
        <v>0</v>
      </c>
      <c r="L25" s="209">
        <v>0</v>
      </c>
      <c r="M25" s="195">
        <f t="shared" si="17"/>
        <v>0</v>
      </c>
      <c r="N25" s="196">
        <f t="shared" si="18"/>
        <v>0</v>
      </c>
      <c r="O25" s="189"/>
      <c r="Q25" s="281"/>
      <c r="R25" s="194">
        <v>2</v>
      </c>
      <c r="S25" s="195">
        <f>IFERROR(GETPIVOTDATA("Amount",'22-23 F195 ExpendPivot'!$A$5:$K$2119,"CCDDD",'2022-23 Worksheet A'!$B$6,"Program","24","Activity","22","Object","2"),0)</f>
        <v>0</v>
      </c>
      <c r="T25" s="209">
        <v>0</v>
      </c>
      <c r="U25" s="195">
        <f t="shared" si="19"/>
        <v>0</v>
      </c>
      <c r="V25" s="196">
        <f t="shared" si="7"/>
        <v>0</v>
      </c>
      <c r="W25" s="189"/>
      <c r="Y25" s="281"/>
      <c r="Z25" s="194">
        <v>2</v>
      </c>
      <c r="AA25" s="195">
        <f>IFERROR(GETPIVOTDATA("Amount",'22-23 F195 ExpendPivot'!$A$5:$K$2119,"CCDDD",'2022-23 Worksheet A'!$B$6,"Program","26","Activity","23","Object","2"),0)</f>
        <v>0</v>
      </c>
      <c r="AB25" s="209">
        <v>0</v>
      </c>
      <c r="AC25" s="195">
        <f t="shared" si="20"/>
        <v>0</v>
      </c>
      <c r="AD25" s="196">
        <f t="shared" si="8"/>
        <v>0</v>
      </c>
      <c r="AE25" s="189"/>
      <c r="AG25" s="281"/>
      <c r="AH25" s="194">
        <v>2</v>
      </c>
      <c r="AI25" s="195">
        <f>IFERROR(GETPIVOTDATA("Amount",'22-23 F195 ExpendPivot'!$A$5:$K$2119,"CCDDD",'2022-23 Worksheet A'!$B$6,"Program","29","Activity","23","Object","2"),0)</f>
        <v>0</v>
      </c>
      <c r="AJ25" s="209">
        <v>0</v>
      </c>
      <c r="AK25" s="195">
        <f t="shared" si="21"/>
        <v>0</v>
      </c>
      <c r="AL25" s="196">
        <f t="shared" si="9"/>
        <v>0</v>
      </c>
      <c r="AM25" s="189"/>
    </row>
    <row r="26" spans="1:39">
      <c r="A26" s="281"/>
      <c r="B26" s="194">
        <v>3</v>
      </c>
      <c r="C26" s="195">
        <f>IFERROR(GETPIVOTDATA("Amount",'22-23 F195 ExpendPivot'!$A$5:$K$2119,"CCDDD",'2022-23 Worksheet A'!$B$6,"Program","21","Activity","23","Object","3"),0)</f>
        <v>0</v>
      </c>
      <c r="D26" s="209">
        <v>0</v>
      </c>
      <c r="E26" s="195">
        <f t="shared" si="16"/>
        <v>0</v>
      </c>
      <c r="F26" s="196">
        <f t="shared" si="5"/>
        <v>0</v>
      </c>
      <c r="G26" s="189"/>
      <c r="I26" s="281"/>
      <c r="J26" s="194">
        <v>3</v>
      </c>
      <c r="K26" s="195">
        <f>IFERROR(GETPIVOTDATA("Amount",'22-23 F195 ExpendPivot'!$A$5:$K$2119,"CCDDD",'2022-23 Worksheet A'!$B$6,"Program","23","Activity","22","Object","3"),0)</f>
        <v>0</v>
      </c>
      <c r="L26" s="209">
        <v>0</v>
      </c>
      <c r="M26" s="195">
        <f t="shared" si="17"/>
        <v>0</v>
      </c>
      <c r="N26" s="196">
        <f t="shared" si="18"/>
        <v>0</v>
      </c>
      <c r="O26" s="189"/>
      <c r="Q26" s="281"/>
      <c r="R26" s="194">
        <v>3</v>
      </c>
      <c r="S26" s="195">
        <f>IFERROR(GETPIVOTDATA("Amount",'22-23 F195 ExpendPivot'!$A$5:$K$2119,"CCDDD",'2022-23 Worksheet A'!$B$6,"Program","24","Activity","22","Object","3"),0)</f>
        <v>0</v>
      </c>
      <c r="T26" s="209">
        <v>0</v>
      </c>
      <c r="U26" s="195">
        <f t="shared" si="19"/>
        <v>0</v>
      </c>
      <c r="V26" s="196">
        <f t="shared" si="7"/>
        <v>0</v>
      </c>
      <c r="W26" s="189"/>
      <c r="Y26" s="281"/>
      <c r="Z26" s="194">
        <v>3</v>
      </c>
      <c r="AA26" s="195">
        <f>IFERROR(GETPIVOTDATA("Amount",'22-23 F195 ExpendPivot'!$A$5:$K$2119,"CCDDD",'2022-23 Worksheet A'!$B$6,"Program","26","Activity","23","Object","3"),0)</f>
        <v>0</v>
      </c>
      <c r="AB26" s="209">
        <v>0</v>
      </c>
      <c r="AC26" s="195">
        <f t="shared" si="20"/>
        <v>0</v>
      </c>
      <c r="AD26" s="196">
        <f t="shared" si="8"/>
        <v>0</v>
      </c>
      <c r="AE26" s="189"/>
      <c r="AG26" s="281"/>
      <c r="AH26" s="194">
        <v>3</v>
      </c>
      <c r="AI26" s="195">
        <f>IFERROR(GETPIVOTDATA("Amount",'22-23 F195 ExpendPivot'!$A$5:$K$2119,"CCDDD",'2022-23 Worksheet A'!$B$6,"Program","29","Activity","23","Object","3"),0)</f>
        <v>0</v>
      </c>
      <c r="AJ26" s="209">
        <v>0</v>
      </c>
      <c r="AK26" s="195">
        <f t="shared" si="21"/>
        <v>0</v>
      </c>
      <c r="AL26" s="196">
        <f t="shared" si="9"/>
        <v>0</v>
      </c>
      <c r="AM26" s="189"/>
    </row>
    <row r="27" spans="1:39">
      <c r="A27" s="281"/>
      <c r="B27" s="194">
        <v>4</v>
      </c>
      <c r="C27" s="195">
        <f>IFERROR(GETPIVOTDATA("Amount",'22-23 F195 ExpendPivot'!$A$5:$K$2119,"CCDDD",'2022-23 Worksheet A'!$B$6,"Program","21","Activity","23","Object","4"),0)</f>
        <v>0</v>
      </c>
      <c r="D27" s="209">
        <v>0</v>
      </c>
      <c r="E27" s="195">
        <f t="shared" si="16"/>
        <v>0</v>
      </c>
      <c r="F27" s="196">
        <f t="shared" si="5"/>
        <v>0</v>
      </c>
      <c r="G27" s="189"/>
      <c r="I27" s="281"/>
      <c r="J27" s="194">
        <v>4</v>
      </c>
      <c r="K27" s="195">
        <f>IFERROR(GETPIVOTDATA("Amount",'22-23 F195 ExpendPivot'!$A$5:$K$2119,"CCDDD",'2022-23 Worksheet A'!$B$6,"Program","23","Activity","22","Object","4"),0)</f>
        <v>0</v>
      </c>
      <c r="L27" s="209">
        <v>0</v>
      </c>
      <c r="M27" s="195">
        <f t="shared" si="17"/>
        <v>0</v>
      </c>
      <c r="N27" s="196">
        <f t="shared" si="18"/>
        <v>0</v>
      </c>
      <c r="O27" s="189"/>
      <c r="Q27" s="281"/>
      <c r="R27" s="194">
        <v>4</v>
      </c>
      <c r="S27" s="195">
        <f>IFERROR(GETPIVOTDATA("Amount",'22-23 F195 ExpendPivot'!$A$5:$K$2119,"CCDDD",'2022-23 Worksheet A'!$B$6,"Program","24","Activity","22","Object","4"),0)</f>
        <v>0</v>
      </c>
      <c r="T27" s="209">
        <v>0</v>
      </c>
      <c r="U27" s="195">
        <f t="shared" si="19"/>
        <v>0</v>
      </c>
      <c r="V27" s="196">
        <f t="shared" si="7"/>
        <v>0</v>
      </c>
      <c r="W27" s="189"/>
      <c r="Y27" s="281"/>
      <c r="Z27" s="194">
        <v>4</v>
      </c>
      <c r="AA27" s="195">
        <f>IFERROR(GETPIVOTDATA("Amount",'22-23 F195 ExpendPivot'!$A$5:$K$2119,"CCDDD",'2022-23 Worksheet A'!$B$6,"Program","26","Activity","23","Object","4"),0)</f>
        <v>0</v>
      </c>
      <c r="AB27" s="209">
        <v>0</v>
      </c>
      <c r="AC27" s="195">
        <f t="shared" si="20"/>
        <v>0</v>
      </c>
      <c r="AD27" s="196">
        <f t="shared" si="8"/>
        <v>0</v>
      </c>
      <c r="AE27" s="189"/>
      <c r="AG27" s="281"/>
      <c r="AH27" s="194">
        <v>4</v>
      </c>
      <c r="AI27" s="195">
        <f>IFERROR(GETPIVOTDATA("Amount",'22-23 F195 ExpendPivot'!$A$5:$K$2119,"CCDDD",'2022-23 Worksheet A'!$B$6,"Program","29","Activity","23","Object","4"),0)</f>
        <v>0</v>
      </c>
      <c r="AJ27" s="209">
        <v>0</v>
      </c>
      <c r="AK27" s="195">
        <f t="shared" si="21"/>
        <v>0</v>
      </c>
      <c r="AL27" s="196">
        <f t="shared" si="9"/>
        <v>0</v>
      </c>
      <c r="AM27" s="189"/>
    </row>
    <row r="28" spans="1:39">
      <c r="A28" s="281"/>
      <c r="B28" s="194">
        <v>5</v>
      </c>
      <c r="C28" s="195">
        <f>IFERROR(GETPIVOTDATA("Amount",'22-23 F195 ExpendPivot'!$A$5:$K$2119,"CCDDD",'2022-23 Worksheet A'!$B$6,"Program","21","Activity","23","Object","5"),0)</f>
        <v>0</v>
      </c>
      <c r="D28" s="209">
        <v>0</v>
      </c>
      <c r="E28" s="195">
        <f t="shared" si="16"/>
        <v>0</v>
      </c>
      <c r="F28" s="196">
        <f t="shared" si="5"/>
        <v>0</v>
      </c>
      <c r="G28" s="189"/>
      <c r="I28" s="281"/>
      <c r="J28" s="194">
        <v>5</v>
      </c>
      <c r="K28" s="195">
        <f>IFERROR(GETPIVOTDATA("Amount",'22-23 F195 ExpendPivot'!$A$5:$K$2119,"CCDDD",'2022-23 Worksheet A'!$B$6,"Program","23","Activity","22","Object","5"),0)</f>
        <v>0</v>
      </c>
      <c r="L28" s="209">
        <v>0</v>
      </c>
      <c r="M28" s="195">
        <f t="shared" si="17"/>
        <v>0</v>
      </c>
      <c r="N28" s="196">
        <f t="shared" si="18"/>
        <v>0</v>
      </c>
      <c r="O28" s="189"/>
      <c r="Q28" s="281"/>
      <c r="R28" s="194">
        <v>5</v>
      </c>
      <c r="S28" s="195">
        <f>IFERROR(GETPIVOTDATA("Amount",'22-23 F195 ExpendPivot'!$A$5:$K$2119,"CCDDD",'2022-23 Worksheet A'!$B$6,"Program","24","Activity","22","Object","5"),0)</f>
        <v>0</v>
      </c>
      <c r="T28" s="209">
        <v>0</v>
      </c>
      <c r="U28" s="195">
        <f t="shared" si="19"/>
        <v>0</v>
      </c>
      <c r="V28" s="196">
        <f t="shared" si="7"/>
        <v>0</v>
      </c>
      <c r="W28" s="189"/>
      <c r="Y28" s="281"/>
      <c r="Z28" s="194">
        <v>5</v>
      </c>
      <c r="AA28" s="195">
        <f>IFERROR(GETPIVOTDATA("Amount",'22-23 F195 ExpendPivot'!$A$5:$K$2119,"CCDDD",'2022-23 Worksheet A'!$B$6,"Program","26","Activity","23","Object","5"),0)</f>
        <v>0</v>
      </c>
      <c r="AB28" s="209">
        <v>0</v>
      </c>
      <c r="AC28" s="195">
        <f t="shared" si="20"/>
        <v>0</v>
      </c>
      <c r="AD28" s="196">
        <f t="shared" si="8"/>
        <v>0</v>
      </c>
      <c r="AE28" s="189"/>
      <c r="AG28" s="281"/>
      <c r="AH28" s="194">
        <v>5</v>
      </c>
      <c r="AI28" s="195">
        <f>IFERROR(GETPIVOTDATA("Amount",'22-23 F195 ExpendPivot'!$A$5:$K$2119,"CCDDD",'2022-23 Worksheet A'!$B$6,"Program","29","Activity","23","Object","5"),0)</f>
        <v>0</v>
      </c>
      <c r="AJ28" s="209">
        <v>0</v>
      </c>
      <c r="AK28" s="195">
        <f t="shared" si="21"/>
        <v>0</v>
      </c>
      <c r="AL28" s="196">
        <f t="shared" si="9"/>
        <v>0</v>
      </c>
      <c r="AM28" s="189"/>
    </row>
    <row r="29" spans="1:39">
      <c r="A29" s="281"/>
      <c r="B29" s="194">
        <v>7</v>
      </c>
      <c r="C29" s="195">
        <f>IFERROR(GETPIVOTDATA("Amount",'22-23 F195 ExpendPivot'!$A$5:$K$2119,"CCDDD",'2022-23 Worksheet A'!$B$6,"Program","21","Activity","23","Object","7"),0)</f>
        <v>0</v>
      </c>
      <c r="D29" s="209">
        <v>0</v>
      </c>
      <c r="E29" s="195">
        <f t="shared" si="16"/>
        <v>0</v>
      </c>
      <c r="F29" s="196">
        <f t="shared" si="5"/>
        <v>0</v>
      </c>
      <c r="G29" s="189"/>
      <c r="I29" s="281"/>
      <c r="J29" s="194">
        <v>7</v>
      </c>
      <c r="K29" s="195">
        <f>IFERROR(GETPIVOTDATA("Amount",'22-23 F195 ExpendPivot'!$A$5:$K$2119,"CCDDD",'2022-23 Worksheet A'!$B$6,"Program","23","Activity","22","Object","7"),0)</f>
        <v>0</v>
      </c>
      <c r="L29" s="209">
        <v>0</v>
      </c>
      <c r="M29" s="195">
        <f t="shared" si="17"/>
        <v>0</v>
      </c>
      <c r="N29" s="196">
        <f t="shared" si="18"/>
        <v>0</v>
      </c>
      <c r="O29" s="189"/>
      <c r="Q29" s="281"/>
      <c r="R29" s="194">
        <v>7</v>
      </c>
      <c r="S29" s="195">
        <f>IFERROR(GETPIVOTDATA("Amount",'22-23 F195 ExpendPivot'!$A$5:$K$2119,"CCDDD",'2022-23 Worksheet A'!$B$6,"Program","24","Activity","22","Object","7"),0)</f>
        <v>0</v>
      </c>
      <c r="T29" s="209">
        <v>0</v>
      </c>
      <c r="U29" s="195">
        <f t="shared" si="19"/>
        <v>0</v>
      </c>
      <c r="V29" s="196">
        <f t="shared" si="7"/>
        <v>0</v>
      </c>
      <c r="W29" s="189"/>
      <c r="Y29" s="281"/>
      <c r="Z29" s="194">
        <v>7</v>
      </c>
      <c r="AA29" s="195">
        <f>IFERROR(GETPIVOTDATA("Amount",'22-23 F195 ExpendPivot'!$A$5:$K$2119,"CCDDD",'2022-23 Worksheet A'!$B$6,"Program","26","Activity","23","Object","7"),0)</f>
        <v>0</v>
      </c>
      <c r="AB29" s="209">
        <v>0</v>
      </c>
      <c r="AC29" s="195">
        <f t="shared" si="20"/>
        <v>0</v>
      </c>
      <c r="AD29" s="196">
        <f t="shared" si="8"/>
        <v>0</v>
      </c>
      <c r="AE29" s="189"/>
      <c r="AG29" s="281"/>
      <c r="AH29" s="194">
        <v>7</v>
      </c>
      <c r="AI29" s="195">
        <f>IFERROR(GETPIVOTDATA("Amount",'22-23 F195 ExpendPivot'!$A$5:$K$2119,"CCDDD",'2022-23 Worksheet A'!$B$6,"Program","29","Activity","23","Object","7"),0)</f>
        <v>0</v>
      </c>
      <c r="AJ29" s="209">
        <v>0</v>
      </c>
      <c r="AK29" s="195">
        <f t="shared" si="21"/>
        <v>0</v>
      </c>
      <c r="AL29" s="196">
        <f t="shared" si="9"/>
        <v>0</v>
      </c>
      <c r="AM29" s="189"/>
    </row>
    <row r="30" spans="1:39">
      <c r="A30" s="281"/>
      <c r="B30" s="194">
        <v>8</v>
      </c>
      <c r="C30" s="195">
        <f>IFERROR(GETPIVOTDATA("Amount",'22-23 F195 ExpendPivot'!$A$5:$K$2119,"CCDDD",'2022-23 Worksheet A'!$B$6,"Program","21","Activity","23","Object","8"),0)</f>
        <v>0</v>
      </c>
      <c r="D30" s="209">
        <v>0</v>
      </c>
      <c r="E30" s="195">
        <f t="shared" si="16"/>
        <v>0</v>
      </c>
      <c r="F30" s="196">
        <f t="shared" si="5"/>
        <v>0</v>
      </c>
      <c r="G30" s="189"/>
      <c r="I30" s="281"/>
      <c r="J30" s="194">
        <v>8</v>
      </c>
      <c r="K30" s="195">
        <f>IFERROR(GETPIVOTDATA("Amount",'22-23 F195 ExpendPivot'!$A$5:$K$2119,"CCDDD",'2022-23 Worksheet A'!$B$6,"Program","23","Activity","22","Object","8"),0)</f>
        <v>0</v>
      </c>
      <c r="L30" s="209">
        <v>0</v>
      </c>
      <c r="M30" s="195">
        <f t="shared" si="17"/>
        <v>0</v>
      </c>
      <c r="N30" s="196">
        <f t="shared" si="18"/>
        <v>0</v>
      </c>
      <c r="O30" s="189"/>
      <c r="Q30" s="281"/>
      <c r="R30" s="194">
        <v>8</v>
      </c>
      <c r="S30" s="195">
        <f>IFERROR(GETPIVOTDATA("Amount",'22-23 F195 ExpendPivot'!$A$5:$K$2119,"CCDDD",'2022-23 Worksheet A'!$B$6,"Program","24","Activity","22","Object","8"),0)</f>
        <v>0</v>
      </c>
      <c r="T30" s="209">
        <v>0</v>
      </c>
      <c r="U30" s="195">
        <f t="shared" si="19"/>
        <v>0</v>
      </c>
      <c r="V30" s="196">
        <f t="shared" si="7"/>
        <v>0</v>
      </c>
      <c r="W30" s="189"/>
      <c r="Y30" s="281"/>
      <c r="Z30" s="194">
        <v>8</v>
      </c>
      <c r="AA30" s="195">
        <f>IFERROR(GETPIVOTDATA("Amount",'22-23 F195 ExpendPivot'!$A$5:$K$2119,"CCDDD",'2022-23 Worksheet A'!$B$6,"Program","26","Activity","23","Object","8"),0)</f>
        <v>0</v>
      </c>
      <c r="AB30" s="209">
        <v>0</v>
      </c>
      <c r="AC30" s="195">
        <f t="shared" si="20"/>
        <v>0</v>
      </c>
      <c r="AD30" s="196">
        <f t="shared" si="8"/>
        <v>0</v>
      </c>
      <c r="AE30" s="189"/>
      <c r="AG30" s="281"/>
      <c r="AH30" s="194">
        <v>8</v>
      </c>
      <c r="AI30" s="195">
        <f>IFERROR(GETPIVOTDATA("Amount",'22-23 F195 ExpendPivot'!$A$5:$K$2119,"CCDDD",'2022-23 Worksheet A'!$B$6,"Program","29","Activity","23","Object","8"),0)</f>
        <v>0</v>
      </c>
      <c r="AJ30" s="209">
        <v>0</v>
      </c>
      <c r="AK30" s="195">
        <f t="shared" si="21"/>
        <v>0</v>
      </c>
      <c r="AL30" s="196">
        <f t="shared" si="9"/>
        <v>0</v>
      </c>
      <c r="AM30" s="189"/>
    </row>
    <row r="31" spans="1:39">
      <c r="A31" s="281"/>
      <c r="B31" s="194">
        <v>9</v>
      </c>
      <c r="C31" s="195">
        <f>IFERROR(GETPIVOTDATA("Amount",'22-23 F195 ExpendPivot'!$A$5:$K$2119,"CCDDD",'2022-23 Worksheet A'!$B$6,"Program","21","Activity","23","Object","9"),0)</f>
        <v>0</v>
      </c>
      <c r="D31" s="209">
        <v>0</v>
      </c>
      <c r="E31" s="195">
        <f t="shared" si="16"/>
        <v>0</v>
      </c>
      <c r="F31" s="196">
        <f t="shared" si="5"/>
        <v>0</v>
      </c>
      <c r="G31" s="189"/>
      <c r="I31" s="281"/>
      <c r="J31" s="194">
        <v>9</v>
      </c>
      <c r="K31" s="195">
        <f>IFERROR(GETPIVOTDATA("Amount",'22-23 F195 ExpendPivot'!$A$5:$K$2119,"CCDDD",'2022-23 Worksheet A'!$B$6,"Program","23","Activity","22","Object","9"),0)</f>
        <v>0</v>
      </c>
      <c r="L31" s="209">
        <v>0</v>
      </c>
      <c r="M31" s="195">
        <f t="shared" si="17"/>
        <v>0</v>
      </c>
      <c r="N31" s="196">
        <f t="shared" si="18"/>
        <v>0</v>
      </c>
      <c r="O31" s="189"/>
      <c r="Q31" s="281"/>
      <c r="R31" s="194">
        <v>9</v>
      </c>
      <c r="S31" s="195">
        <f>IFERROR(GETPIVOTDATA("Amount",'22-23 F195 ExpendPivot'!$A$5:$K$2119,"CCDDD",'2022-23 Worksheet A'!$B$6,"Program","24","Activity","22","Object","9"),0)</f>
        <v>0</v>
      </c>
      <c r="T31" s="209">
        <v>0</v>
      </c>
      <c r="U31" s="195">
        <f t="shared" si="19"/>
        <v>0</v>
      </c>
      <c r="V31" s="196">
        <f t="shared" si="7"/>
        <v>0</v>
      </c>
      <c r="W31" s="189"/>
      <c r="Y31" s="281"/>
      <c r="Z31" s="194">
        <v>9</v>
      </c>
      <c r="AA31" s="195">
        <f>IFERROR(GETPIVOTDATA("Amount",'22-23 F195 ExpendPivot'!$A$5:$K$2119,"CCDDD",'2022-23 Worksheet A'!$B$6,"Program","26","Activity","23","Object","9"),0)</f>
        <v>0</v>
      </c>
      <c r="AB31" s="209">
        <v>0</v>
      </c>
      <c r="AC31" s="195">
        <f t="shared" si="20"/>
        <v>0</v>
      </c>
      <c r="AD31" s="196">
        <f t="shared" si="8"/>
        <v>0</v>
      </c>
      <c r="AE31" s="189"/>
      <c r="AG31" s="281"/>
      <c r="AH31" s="194">
        <v>9</v>
      </c>
      <c r="AI31" s="195">
        <f>IFERROR(GETPIVOTDATA("Amount",'22-23 F195 ExpendPivot'!$A$5:$K$2119,"CCDDD",'2022-23 Worksheet A'!$B$6,"Program","29","Activity","23","Object","9"),0)</f>
        <v>0</v>
      </c>
      <c r="AJ31" s="209">
        <v>0</v>
      </c>
      <c r="AK31" s="195">
        <f t="shared" si="21"/>
        <v>0</v>
      </c>
      <c r="AL31" s="196">
        <f t="shared" si="9"/>
        <v>0</v>
      </c>
      <c r="AM31" s="189"/>
    </row>
    <row r="32" spans="1:39">
      <c r="A32" s="282"/>
      <c r="B32" s="210"/>
      <c r="C32" s="211">
        <f>SUM(C24:C31)</f>
        <v>0</v>
      </c>
      <c r="D32" s="211">
        <f>SUM(D24:D31)</f>
        <v>0</v>
      </c>
      <c r="E32" s="211">
        <f>SUM(E24:E31)</f>
        <v>0</v>
      </c>
      <c r="F32" s="212"/>
      <c r="G32" s="213"/>
      <c r="I32" s="282"/>
      <c r="J32" s="210"/>
      <c r="K32" s="211">
        <f>SUM(K24:K31)</f>
        <v>0</v>
      </c>
      <c r="L32" s="211">
        <f>SUM(L24:L31)</f>
        <v>0</v>
      </c>
      <c r="M32" s="211">
        <f>SUM(M24:M31)</f>
        <v>0</v>
      </c>
      <c r="N32" s="212"/>
      <c r="O32" s="213"/>
      <c r="Q32" s="282"/>
      <c r="R32" s="210"/>
      <c r="S32" s="211">
        <f>SUM(S24:S31)</f>
        <v>0</v>
      </c>
      <c r="T32" s="211">
        <f>SUM(T24:T31)</f>
        <v>0</v>
      </c>
      <c r="U32" s="211">
        <f>SUM(U24:U31)</f>
        <v>0</v>
      </c>
      <c r="V32" s="212"/>
      <c r="W32" s="213"/>
      <c r="Y32" s="282"/>
      <c r="Z32" s="210"/>
      <c r="AA32" s="211">
        <f>SUM(AA24:AA31)</f>
        <v>0</v>
      </c>
      <c r="AB32" s="211">
        <f>SUM(AB24:AB31)</f>
        <v>0</v>
      </c>
      <c r="AC32" s="211">
        <f>SUM(AC24:AC31)</f>
        <v>0</v>
      </c>
      <c r="AD32" s="212"/>
      <c r="AE32" s="213"/>
      <c r="AG32" s="282"/>
      <c r="AH32" s="210"/>
      <c r="AI32" s="211">
        <f>SUM(AI24:AI31)</f>
        <v>0</v>
      </c>
      <c r="AJ32" s="211">
        <f>SUM(AJ24:AJ31)</f>
        <v>0</v>
      </c>
      <c r="AK32" s="211">
        <f>SUM(AK24:AK31)</f>
        <v>0</v>
      </c>
      <c r="AL32" s="212"/>
      <c r="AM32" s="213"/>
    </row>
    <row r="33" spans="1:39">
      <c r="A33" s="280">
        <v>24</v>
      </c>
      <c r="B33" s="190">
        <v>0</v>
      </c>
      <c r="C33" s="191">
        <f>IFERROR(GETPIVOTDATA("Amount",'22-23 F195 ExpendPivot'!$A$5:$K$2119,"CCDDD",'2022-23 Worksheet A'!$B$6,"Program","21","Activity","24","Object","0"),0)</f>
        <v>0</v>
      </c>
      <c r="D33" s="208">
        <v>0</v>
      </c>
      <c r="E33" s="191"/>
      <c r="F33" s="196">
        <f t="shared" si="5"/>
        <v>0</v>
      </c>
      <c r="G33" s="193"/>
      <c r="I33" s="280">
        <v>24</v>
      </c>
      <c r="J33" s="190">
        <v>0</v>
      </c>
      <c r="K33" s="191">
        <f>IFERROR(GETPIVOTDATA("Amount",'22-23 F195 ExpendPivot'!$A$5:$K$2119,"CCDDD",'2022-23 Worksheet A'!$B$6,"Program","23","Activity","24","Object","0"),0)</f>
        <v>0</v>
      </c>
      <c r="L33" s="208">
        <v>0</v>
      </c>
      <c r="M33" s="191"/>
      <c r="N33" s="192">
        <f t="shared" ref="N33:N40" si="22">IFERROR((M33-K33)/K33,0)</f>
        <v>0</v>
      </c>
      <c r="O33" s="193"/>
      <c r="Q33" s="280">
        <v>24</v>
      </c>
      <c r="R33" s="190">
        <v>0</v>
      </c>
      <c r="S33" s="191">
        <f>IFERROR(GETPIVOTDATA("Amount",'22-23 F195 ExpendPivot'!$A$5:$K$2119,"CCDDD",'2022-23 Worksheet A'!$B$6,"Program","24","Activity","24","Object","0"),0)</f>
        <v>0</v>
      </c>
      <c r="T33" s="208">
        <v>0</v>
      </c>
      <c r="U33" s="191"/>
      <c r="V33" s="192">
        <f t="shared" si="7"/>
        <v>0</v>
      </c>
      <c r="W33" s="193"/>
      <c r="Y33" s="280">
        <v>24</v>
      </c>
      <c r="Z33" s="190">
        <v>0</v>
      </c>
      <c r="AA33" s="191">
        <f>IFERROR(GETPIVOTDATA("Amount",'22-23 F195 ExpendPivot'!$A$5:$K$2119,"CCDDD",'2022-23 Worksheet A'!$B$6,"Program","26","Activity","24","Object","0"),0)</f>
        <v>0</v>
      </c>
      <c r="AB33" s="208">
        <v>0</v>
      </c>
      <c r="AC33" s="191"/>
      <c r="AD33" s="192">
        <f t="shared" si="8"/>
        <v>0</v>
      </c>
      <c r="AE33" s="193"/>
      <c r="AG33" s="280">
        <v>24</v>
      </c>
      <c r="AH33" s="190">
        <v>0</v>
      </c>
      <c r="AI33" s="191">
        <f>IFERROR(GETPIVOTDATA("Amount",'22-23 F195 ExpendPivot'!$A$5:$K$2119,"CCDDD",'2022-23 Worksheet A'!$B$6,"Program","29","Activity","24","Object","0"),0)</f>
        <v>0</v>
      </c>
      <c r="AJ33" s="208">
        <v>0</v>
      </c>
      <c r="AK33" s="191"/>
      <c r="AL33" s="192">
        <f t="shared" si="9"/>
        <v>0</v>
      </c>
      <c r="AM33" s="193"/>
    </row>
    <row r="34" spans="1:39">
      <c r="A34" s="281"/>
      <c r="B34" s="194">
        <v>2</v>
      </c>
      <c r="C34" s="195">
        <f>IFERROR(GETPIVOTDATA("Amount",'22-23 F195 ExpendPivot'!$A$5:$K$2119,"CCDDD",'2022-23 Worksheet A'!$B$6,"Program","21","Activity","24","Object","2"),0)</f>
        <v>0</v>
      </c>
      <c r="D34" s="209">
        <v>0</v>
      </c>
      <c r="E34" s="195">
        <f t="shared" ref="E34:E40" si="23">D34/$D$3*12</f>
        <v>0</v>
      </c>
      <c r="F34" s="196">
        <f t="shared" si="5"/>
        <v>0</v>
      </c>
      <c r="G34" s="189"/>
      <c r="I34" s="281"/>
      <c r="J34" s="194">
        <v>2</v>
      </c>
      <c r="K34" s="195">
        <f>IFERROR(GETPIVOTDATA("Amount",'22-23 F195 ExpendPivot'!$A$5:$K$2119,"CCDDD",'2022-23 Worksheet A'!$B$6,"Program","23","Activity","24","Object","2"),0)</f>
        <v>0</v>
      </c>
      <c r="L34" s="209">
        <v>0</v>
      </c>
      <c r="M34" s="195">
        <f t="shared" ref="M34:M40" si="24">L34/$D$3*12</f>
        <v>0</v>
      </c>
      <c r="N34" s="196">
        <f t="shared" si="22"/>
        <v>0</v>
      </c>
      <c r="O34" s="189"/>
      <c r="Q34" s="281"/>
      <c r="R34" s="194">
        <v>2</v>
      </c>
      <c r="S34" s="195">
        <f>IFERROR(GETPIVOTDATA("Amount",'22-23 F195 ExpendPivot'!$A$5:$K$2119,"CCDDD",'2022-23 Worksheet A'!$B$6,"Program","24","Activity","24","Object","2"),0)</f>
        <v>0</v>
      </c>
      <c r="T34" s="209">
        <v>0</v>
      </c>
      <c r="U34" s="195">
        <f t="shared" ref="U34:U40" si="25">T34/$D$3*12</f>
        <v>0</v>
      </c>
      <c r="V34" s="196">
        <f t="shared" si="7"/>
        <v>0</v>
      </c>
      <c r="W34" s="189"/>
      <c r="Y34" s="281"/>
      <c r="Z34" s="194">
        <v>2</v>
      </c>
      <c r="AA34" s="195">
        <f>IFERROR(GETPIVOTDATA("Amount",'22-23 F195 ExpendPivot'!$A$5:$K$2119,"CCDDD",'2022-23 Worksheet A'!$B$6,"Program","26","Activity","24","Object","2"),0)</f>
        <v>0</v>
      </c>
      <c r="AB34" s="209">
        <v>0</v>
      </c>
      <c r="AC34" s="195">
        <f t="shared" ref="AC34:AC40" si="26">AB34/$D$3*12</f>
        <v>0</v>
      </c>
      <c r="AD34" s="196">
        <f t="shared" si="8"/>
        <v>0</v>
      </c>
      <c r="AE34" s="189"/>
      <c r="AG34" s="281"/>
      <c r="AH34" s="194">
        <v>2</v>
      </c>
      <c r="AI34" s="195">
        <f>IFERROR(GETPIVOTDATA("Amount",'22-23 F195 ExpendPivot'!$A$5:$K$2119,"CCDDD",'2022-23 Worksheet A'!$B$6,"Program","29","Activity","24","Object","2"),0)</f>
        <v>0</v>
      </c>
      <c r="AJ34" s="209">
        <v>0</v>
      </c>
      <c r="AK34" s="195">
        <f t="shared" ref="AK34:AK40" si="27">AJ34/$D$3*12</f>
        <v>0</v>
      </c>
      <c r="AL34" s="196">
        <f t="shared" si="9"/>
        <v>0</v>
      </c>
      <c r="AM34" s="189"/>
    </row>
    <row r="35" spans="1:39">
      <c r="A35" s="281"/>
      <c r="B35" s="194">
        <v>3</v>
      </c>
      <c r="C35" s="195">
        <f>IFERROR(GETPIVOTDATA("Amount",'22-23 F195 ExpendPivot'!$A$5:$K$2119,"CCDDD",'2022-23 Worksheet A'!$B$6,"Program","21","Activity","24","Object","3"),0)</f>
        <v>0</v>
      </c>
      <c r="D35" s="209">
        <v>0</v>
      </c>
      <c r="E35" s="195">
        <f t="shared" si="23"/>
        <v>0</v>
      </c>
      <c r="F35" s="196">
        <f t="shared" si="5"/>
        <v>0</v>
      </c>
      <c r="G35" s="189"/>
      <c r="I35" s="281"/>
      <c r="J35" s="194">
        <v>3</v>
      </c>
      <c r="K35" s="195">
        <f>IFERROR(GETPIVOTDATA("Amount",'22-23 F195 ExpendPivot'!$A$5:$K$2119,"CCDDD",'2022-23 Worksheet A'!$B$6,"Program","23","Activity","24","Object","3"),0)</f>
        <v>0</v>
      </c>
      <c r="L35" s="209">
        <v>0</v>
      </c>
      <c r="M35" s="195">
        <f t="shared" si="24"/>
        <v>0</v>
      </c>
      <c r="N35" s="196">
        <f t="shared" si="22"/>
        <v>0</v>
      </c>
      <c r="O35" s="189"/>
      <c r="Q35" s="281"/>
      <c r="R35" s="194">
        <v>3</v>
      </c>
      <c r="S35" s="195">
        <f>IFERROR(GETPIVOTDATA("Amount",'22-23 F195 ExpendPivot'!$A$5:$K$2119,"CCDDD",'2022-23 Worksheet A'!$B$6,"Program","24","Activity","24","Object","3"),0)</f>
        <v>0</v>
      </c>
      <c r="T35" s="209">
        <v>0</v>
      </c>
      <c r="U35" s="195">
        <f t="shared" si="25"/>
        <v>0</v>
      </c>
      <c r="V35" s="196">
        <f t="shared" si="7"/>
        <v>0</v>
      </c>
      <c r="W35" s="189"/>
      <c r="Y35" s="281"/>
      <c r="Z35" s="194">
        <v>3</v>
      </c>
      <c r="AA35" s="195">
        <f>IFERROR(GETPIVOTDATA("Amount",'22-23 F195 ExpendPivot'!$A$5:$K$2119,"CCDDD",'2022-23 Worksheet A'!$B$6,"Program","26","Activity","24","Object","3"),0)</f>
        <v>0</v>
      </c>
      <c r="AB35" s="209">
        <v>0</v>
      </c>
      <c r="AC35" s="195">
        <f t="shared" si="26"/>
        <v>0</v>
      </c>
      <c r="AD35" s="196">
        <f t="shared" si="8"/>
        <v>0</v>
      </c>
      <c r="AE35" s="189"/>
      <c r="AG35" s="281"/>
      <c r="AH35" s="194">
        <v>3</v>
      </c>
      <c r="AI35" s="195">
        <f>IFERROR(GETPIVOTDATA("Amount",'22-23 F195 ExpendPivot'!$A$5:$K$2119,"CCDDD",'2022-23 Worksheet A'!$B$6,"Program","29","Activity","24","Object","3"),0)</f>
        <v>0</v>
      </c>
      <c r="AJ35" s="209">
        <v>0</v>
      </c>
      <c r="AK35" s="195">
        <f t="shared" si="27"/>
        <v>0</v>
      </c>
      <c r="AL35" s="196">
        <f t="shared" si="9"/>
        <v>0</v>
      </c>
      <c r="AM35" s="189"/>
    </row>
    <row r="36" spans="1:39">
      <c r="A36" s="281"/>
      <c r="B36" s="194">
        <v>4</v>
      </c>
      <c r="C36" s="195">
        <f>IFERROR(GETPIVOTDATA("Amount",'22-23 F195 ExpendPivot'!$A$5:$K$2119,"CCDDD",'2022-23 Worksheet A'!$B$6,"Program","21","Activity","24","Object","4"),0)</f>
        <v>0</v>
      </c>
      <c r="D36" s="209">
        <v>0</v>
      </c>
      <c r="E36" s="195">
        <f t="shared" si="23"/>
        <v>0</v>
      </c>
      <c r="F36" s="196">
        <f t="shared" si="5"/>
        <v>0</v>
      </c>
      <c r="G36" s="189"/>
      <c r="I36" s="281"/>
      <c r="J36" s="194">
        <v>4</v>
      </c>
      <c r="K36" s="195">
        <f>IFERROR(GETPIVOTDATA("Amount",'22-23 F195 ExpendPivot'!$A$5:$K$2119,"CCDDD",'2022-23 Worksheet A'!$B$6,"Program","23","Activity","24","Object","4"),0)</f>
        <v>0</v>
      </c>
      <c r="L36" s="209">
        <v>0</v>
      </c>
      <c r="M36" s="195">
        <f t="shared" si="24"/>
        <v>0</v>
      </c>
      <c r="N36" s="196">
        <f t="shared" si="22"/>
        <v>0</v>
      </c>
      <c r="O36" s="189"/>
      <c r="Q36" s="281"/>
      <c r="R36" s="194">
        <v>4</v>
      </c>
      <c r="S36" s="195">
        <f>IFERROR(GETPIVOTDATA("Amount",'22-23 F195 ExpendPivot'!$A$5:$K$2119,"CCDDD",'2022-23 Worksheet A'!$B$6,"Program","24","Activity","24","Object","4"),0)</f>
        <v>0</v>
      </c>
      <c r="T36" s="209">
        <v>0</v>
      </c>
      <c r="U36" s="195">
        <f t="shared" si="25"/>
        <v>0</v>
      </c>
      <c r="V36" s="196">
        <f t="shared" si="7"/>
        <v>0</v>
      </c>
      <c r="W36" s="189"/>
      <c r="Y36" s="281"/>
      <c r="Z36" s="194">
        <v>4</v>
      </c>
      <c r="AA36" s="195">
        <f>IFERROR(GETPIVOTDATA("Amount",'22-23 F195 ExpendPivot'!$A$5:$K$2119,"CCDDD",'2022-23 Worksheet A'!$B$6,"Program","26","Activity","24","Object","4"),0)</f>
        <v>0</v>
      </c>
      <c r="AB36" s="209">
        <v>0</v>
      </c>
      <c r="AC36" s="195">
        <f t="shared" si="26"/>
        <v>0</v>
      </c>
      <c r="AD36" s="196">
        <f t="shared" si="8"/>
        <v>0</v>
      </c>
      <c r="AE36" s="189"/>
      <c r="AG36" s="281"/>
      <c r="AH36" s="194">
        <v>4</v>
      </c>
      <c r="AI36" s="195">
        <f>IFERROR(GETPIVOTDATA("Amount",'22-23 F195 ExpendPivot'!$A$5:$K$2119,"CCDDD",'2022-23 Worksheet A'!$B$6,"Program","29","Activity","24","Object","4"),0)</f>
        <v>0</v>
      </c>
      <c r="AJ36" s="209">
        <v>0</v>
      </c>
      <c r="AK36" s="195">
        <f t="shared" si="27"/>
        <v>0</v>
      </c>
      <c r="AL36" s="196">
        <f t="shared" si="9"/>
        <v>0</v>
      </c>
      <c r="AM36" s="189"/>
    </row>
    <row r="37" spans="1:39">
      <c r="A37" s="281"/>
      <c r="B37" s="194">
        <v>5</v>
      </c>
      <c r="C37" s="195">
        <f>IFERROR(GETPIVOTDATA("Amount",'22-23 F195 ExpendPivot'!$A$5:$K$2119,"CCDDD",'2022-23 Worksheet A'!$B$6,"Program","21","Activity","24","Object","5"),0)</f>
        <v>0</v>
      </c>
      <c r="D37" s="209">
        <v>0</v>
      </c>
      <c r="E37" s="195">
        <f t="shared" si="23"/>
        <v>0</v>
      </c>
      <c r="F37" s="196">
        <f t="shared" si="5"/>
        <v>0</v>
      </c>
      <c r="G37" s="189"/>
      <c r="I37" s="281"/>
      <c r="J37" s="194">
        <v>5</v>
      </c>
      <c r="K37" s="195">
        <f>IFERROR(GETPIVOTDATA("Amount",'22-23 F195 ExpendPivot'!$A$5:$K$2119,"CCDDD",'2022-23 Worksheet A'!$B$6,"Program","23","Activity","24","Object","5"),0)</f>
        <v>0</v>
      </c>
      <c r="L37" s="209">
        <v>0</v>
      </c>
      <c r="M37" s="195">
        <f t="shared" si="24"/>
        <v>0</v>
      </c>
      <c r="N37" s="196">
        <f t="shared" si="22"/>
        <v>0</v>
      </c>
      <c r="O37" s="189"/>
      <c r="Q37" s="281"/>
      <c r="R37" s="194">
        <v>5</v>
      </c>
      <c r="S37" s="195">
        <f>IFERROR(GETPIVOTDATA("Amount",'22-23 F195 ExpendPivot'!$A$5:$K$2119,"CCDDD",'2022-23 Worksheet A'!$B$6,"Program","24","Activity","24","Object","5"),0)</f>
        <v>0</v>
      </c>
      <c r="T37" s="209">
        <v>0</v>
      </c>
      <c r="U37" s="195">
        <f t="shared" si="25"/>
        <v>0</v>
      </c>
      <c r="V37" s="196">
        <f t="shared" si="7"/>
        <v>0</v>
      </c>
      <c r="W37" s="189"/>
      <c r="Y37" s="281"/>
      <c r="Z37" s="194">
        <v>5</v>
      </c>
      <c r="AA37" s="195">
        <f>IFERROR(GETPIVOTDATA("Amount",'22-23 F195 ExpendPivot'!$A$5:$K$2119,"CCDDD",'2022-23 Worksheet A'!$B$6,"Program","26","Activity","24","Object","5"),0)</f>
        <v>0</v>
      </c>
      <c r="AB37" s="209">
        <v>0</v>
      </c>
      <c r="AC37" s="195">
        <f t="shared" si="26"/>
        <v>0</v>
      </c>
      <c r="AD37" s="196">
        <f t="shared" si="8"/>
        <v>0</v>
      </c>
      <c r="AE37" s="189"/>
      <c r="AG37" s="281"/>
      <c r="AH37" s="194">
        <v>5</v>
      </c>
      <c r="AI37" s="195">
        <f>IFERROR(GETPIVOTDATA("Amount",'22-23 F195 ExpendPivot'!$A$5:$K$2119,"CCDDD",'2022-23 Worksheet A'!$B$6,"Program","29","Activity","24","Object","5"),0)</f>
        <v>0</v>
      </c>
      <c r="AJ37" s="209">
        <v>0</v>
      </c>
      <c r="AK37" s="195">
        <f t="shared" si="27"/>
        <v>0</v>
      </c>
      <c r="AL37" s="196">
        <f t="shared" si="9"/>
        <v>0</v>
      </c>
      <c r="AM37" s="189"/>
    </row>
    <row r="38" spans="1:39">
      <c r="A38" s="281"/>
      <c r="B38" s="194">
        <v>7</v>
      </c>
      <c r="C38" s="195">
        <f>IFERROR(GETPIVOTDATA("Amount",'22-23 F195 ExpendPivot'!$A$5:$K$2119,"CCDDD",'2022-23 Worksheet A'!$B$6,"Program","21","Activity","24","Object","7"),0)</f>
        <v>0</v>
      </c>
      <c r="D38" s="209">
        <v>0</v>
      </c>
      <c r="E38" s="195">
        <f t="shared" si="23"/>
        <v>0</v>
      </c>
      <c r="F38" s="196">
        <f t="shared" si="5"/>
        <v>0</v>
      </c>
      <c r="G38" s="189"/>
      <c r="I38" s="281"/>
      <c r="J38" s="194">
        <v>7</v>
      </c>
      <c r="K38" s="195">
        <f>IFERROR(GETPIVOTDATA("Amount",'22-23 F195 ExpendPivot'!$A$5:$K$2119,"CCDDD",'2022-23 Worksheet A'!$B$6,"Program","23","Activity","24","Object","7"),0)</f>
        <v>0</v>
      </c>
      <c r="L38" s="209">
        <v>0</v>
      </c>
      <c r="M38" s="195">
        <f t="shared" si="24"/>
        <v>0</v>
      </c>
      <c r="N38" s="196">
        <f t="shared" si="22"/>
        <v>0</v>
      </c>
      <c r="O38" s="189"/>
      <c r="Q38" s="281"/>
      <c r="R38" s="194">
        <v>7</v>
      </c>
      <c r="S38" s="195">
        <f>IFERROR(GETPIVOTDATA("Amount",'22-23 F195 ExpendPivot'!$A$5:$K$2119,"CCDDD",'2022-23 Worksheet A'!$B$6,"Program","24","Activity","24","Object","7"),0)</f>
        <v>0</v>
      </c>
      <c r="T38" s="209">
        <v>0</v>
      </c>
      <c r="U38" s="195">
        <f t="shared" si="25"/>
        <v>0</v>
      </c>
      <c r="V38" s="196">
        <f t="shared" si="7"/>
        <v>0</v>
      </c>
      <c r="W38" s="189"/>
      <c r="Y38" s="281"/>
      <c r="Z38" s="194">
        <v>7</v>
      </c>
      <c r="AA38" s="195">
        <f>IFERROR(GETPIVOTDATA("Amount",'22-23 F195 ExpendPivot'!$A$5:$K$2119,"CCDDD",'2022-23 Worksheet A'!$B$6,"Program","26","Activity","24","Object","7"),0)</f>
        <v>0</v>
      </c>
      <c r="AB38" s="209">
        <v>0</v>
      </c>
      <c r="AC38" s="195">
        <f t="shared" si="26"/>
        <v>0</v>
      </c>
      <c r="AD38" s="196">
        <f t="shared" si="8"/>
        <v>0</v>
      </c>
      <c r="AE38" s="189"/>
      <c r="AG38" s="281"/>
      <c r="AH38" s="194">
        <v>7</v>
      </c>
      <c r="AI38" s="195">
        <f>IFERROR(GETPIVOTDATA("Amount",'22-23 F195 ExpendPivot'!$A$5:$K$2119,"CCDDD",'2022-23 Worksheet A'!$B$6,"Program","29","Activity","24","Object","7"),0)</f>
        <v>0</v>
      </c>
      <c r="AJ38" s="209">
        <v>0</v>
      </c>
      <c r="AK38" s="195">
        <f t="shared" si="27"/>
        <v>0</v>
      </c>
      <c r="AL38" s="196">
        <f t="shared" si="9"/>
        <v>0</v>
      </c>
      <c r="AM38" s="189"/>
    </row>
    <row r="39" spans="1:39">
      <c r="A39" s="281"/>
      <c r="B39" s="194">
        <v>8</v>
      </c>
      <c r="C39" s="195">
        <f>IFERROR(GETPIVOTDATA("Amount",'22-23 F195 ExpendPivot'!$A$5:$K$2119,"CCDDD",'2022-23 Worksheet A'!$B$6,"Program","21","Activity","24","Object","8"),0)</f>
        <v>0</v>
      </c>
      <c r="D39" s="209">
        <v>0</v>
      </c>
      <c r="E39" s="195">
        <f t="shared" si="23"/>
        <v>0</v>
      </c>
      <c r="F39" s="196">
        <f t="shared" si="5"/>
        <v>0</v>
      </c>
      <c r="G39" s="189"/>
      <c r="I39" s="281"/>
      <c r="J39" s="194">
        <v>8</v>
      </c>
      <c r="K39" s="195">
        <f>IFERROR(GETPIVOTDATA("Amount",'22-23 F195 ExpendPivot'!$A$5:$K$2119,"CCDDD",'2022-23 Worksheet A'!$B$6,"Program","23","Activity","24","Object","8"),0)</f>
        <v>0</v>
      </c>
      <c r="L39" s="209">
        <v>0</v>
      </c>
      <c r="M39" s="195">
        <f t="shared" si="24"/>
        <v>0</v>
      </c>
      <c r="N39" s="196">
        <f t="shared" si="22"/>
        <v>0</v>
      </c>
      <c r="O39" s="189"/>
      <c r="Q39" s="281"/>
      <c r="R39" s="194">
        <v>8</v>
      </c>
      <c r="S39" s="195">
        <f>IFERROR(GETPIVOTDATA("Amount",'22-23 F195 ExpendPivot'!$A$5:$K$2119,"CCDDD",'2022-23 Worksheet A'!$B$6,"Program","24","Activity","24","Object","8"),0)</f>
        <v>0</v>
      </c>
      <c r="T39" s="209">
        <v>0</v>
      </c>
      <c r="U39" s="195">
        <f t="shared" si="25"/>
        <v>0</v>
      </c>
      <c r="V39" s="196">
        <f t="shared" si="7"/>
        <v>0</v>
      </c>
      <c r="W39" s="189"/>
      <c r="Y39" s="281"/>
      <c r="Z39" s="194">
        <v>8</v>
      </c>
      <c r="AA39" s="195">
        <f>IFERROR(GETPIVOTDATA("Amount",'22-23 F195 ExpendPivot'!$A$5:$K$2119,"CCDDD",'2022-23 Worksheet A'!$B$6,"Program","26","Activity","24","Object","8"),0)</f>
        <v>0</v>
      </c>
      <c r="AB39" s="209">
        <v>0</v>
      </c>
      <c r="AC39" s="195">
        <f t="shared" si="26"/>
        <v>0</v>
      </c>
      <c r="AD39" s="196">
        <f t="shared" si="8"/>
        <v>0</v>
      </c>
      <c r="AE39" s="189"/>
      <c r="AG39" s="281"/>
      <c r="AH39" s="194">
        <v>8</v>
      </c>
      <c r="AI39" s="195">
        <f>IFERROR(GETPIVOTDATA("Amount",'22-23 F195 ExpendPivot'!$A$5:$K$2119,"CCDDD",'2022-23 Worksheet A'!$B$6,"Program","29","Activity","24","Object","8"),0)</f>
        <v>0</v>
      </c>
      <c r="AJ39" s="209">
        <v>0</v>
      </c>
      <c r="AK39" s="195">
        <f t="shared" si="27"/>
        <v>0</v>
      </c>
      <c r="AL39" s="196">
        <f t="shared" si="9"/>
        <v>0</v>
      </c>
      <c r="AM39" s="189"/>
    </row>
    <row r="40" spans="1:39">
      <c r="A40" s="281"/>
      <c r="B40" s="194">
        <v>9</v>
      </c>
      <c r="C40" s="195">
        <f>IFERROR(GETPIVOTDATA("Amount",'22-23 F195 ExpendPivot'!$A$5:$K$2119,"CCDDD",'2022-23 Worksheet A'!$B$6,"Program","21","Activity","24","Object","9"),0)</f>
        <v>0</v>
      </c>
      <c r="D40" s="209">
        <v>0</v>
      </c>
      <c r="E40" s="195">
        <f t="shared" si="23"/>
        <v>0</v>
      </c>
      <c r="F40" s="196">
        <f t="shared" si="5"/>
        <v>0</v>
      </c>
      <c r="G40" s="189"/>
      <c r="I40" s="281"/>
      <c r="J40" s="194">
        <v>9</v>
      </c>
      <c r="K40" s="195">
        <f>IFERROR(GETPIVOTDATA("Amount",'22-23 F195 ExpendPivot'!$A$5:$K$2119,"CCDDD",'2022-23 Worksheet A'!$B$6,"Program","23","Activity","24","Object","9"),0)</f>
        <v>0</v>
      </c>
      <c r="L40" s="209">
        <v>0</v>
      </c>
      <c r="M40" s="195">
        <f t="shared" si="24"/>
        <v>0</v>
      </c>
      <c r="N40" s="196">
        <f t="shared" si="22"/>
        <v>0</v>
      </c>
      <c r="O40" s="189"/>
      <c r="Q40" s="281"/>
      <c r="R40" s="194">
        <v>9</v>
      </c>
      <c r="S40" s="195">
        <f>IFERROR(GETPIVOTDATA("Amount",'22-23 F195 ExpendPivot'!$A$5:$K$2119,"CCDDD",'2022-23 Worksheet A'!$B$6,"Program","24","Activity","24","Object","9"),0)</f>
        <v>0</v>
      </c>
      <c r="T40" s="209">
        <v>0</v>
      </c>
      <c r="U40" s="195">
        <f t="shared" si="25"/>
        <v>0</v>
      </c>
      <c r="V40" s="196">
        <f t="shared" si="7"/>
        <v>0</v>
      </c>
      <c r="W40" s="189"/>
      <c r="Y40" s="281"/>
      <c r="Z40" s="194">
        <v>9</v>
      </c>
      <c r="AA40" s="195">
        <f>IFERROR(GETPIVOTDATA("Amount",'22-23 F195 ExpendPivot'!$A$5:$K$2119,"CCDDD",'2022-23 Worksheet A'!$B$6,"Program","26","Activity","24","Object","9"),0)</f>
        <v>0</v>
      </c>
      <c r="AB40" s="209">
        <v>0</v>
      </c>
      <c r="AC40" s="195">
        <f t="shared" si="26"/>
        <v>0</v>
      </c>
      <c r="AD40" s="196">
        <f t="shared" si="8"/>
        <v>0</v>
      </c>
      <c r="AE40" s="189"/>
      <c r="AG40" s="281"/>
      <c r="AH40" s="194">
        <v>9</v>
      </c>
      <c r="AI40" s="195">
        <f>IFERROR(GETPIVOTDATA("Amount",'22-23 F195 ExpendPivot'!$A$5:$K$2119,"CCDDD",'2022-23 Worksheet A'!$B$6,"Program","29","Activity","24","Object","9"),0)</f>
        <v>0</v>
      </c>
      <c r="AJ40" s="209">
        <v>0</v>
      </c>
      <c r="AK40" s="195">
        <f t="shared" si="27"/>
        <v>0</v>
      </c>
      <c r="AL40" s="196">
        <f t="shared" si="9"/>
        <v>0</v>
      </c>
      <c r="AM40" s="189"/>
    </row>
    <row r="41" spans="1:39">
      <c r="A41" s="282"/>
      <c r="B41" s="210"/>
      <c r="C41" s="211">
        <f>SUM(C33:C40)</f>
        <v>0</v>
      </c>
      <c r="D41" s="211">
        <f>SUM(D33:D40)</f>
        <v>0</v>
      </c>
      <c r="E41" s="211">
        <f>SUM(E33:E40)</f>
        <v>0</v>
      </c>
      <c r="F41" s="212"/>
      <c r="G41" s="213"/>
      <c r="I41" s="282"/>
      <c r="J41" s="210"/>
      <c r="K41" s="211">
        <f>SUM(K33:K40)</f>
        <v>0</v>
      </c>
      <c r="L41" s="211">
        <f>SUM(L33:L40)</f>
        <v>0</v>
      </c>
      <c r="M41" s="211">
        <f>SUM(M33:M40)</f>
        <v>0</v>
      </c>
      <c r="N41" s="212"/>
      <c r="O41" s="213"/>
      <c r="Q41" s="282"/>
      <c r="R41" s="210"/>
      <c r="S41" s="211">
        <f>SUM(S33:S40)</f>
        <v>0</v>
      </c>
      <c r="T41" s="211">
        <f>SUM(T33:T40)</f>
        <v>0</v>
      </c>
      <c r="U41" s="211">
        <f>SUM(U33:U40)</f>
        <v>0</v>
      </c>
      <c r="V41" s="212"/>
      <c r="W41" s="213"/>
      <c r="Y41" s="282"/>
      <c r="Z41" s="210"/>
      <c r="AA41" s="211">
        <f>SUM(AA33:AA40)</f>
        <v>0</v>
      </c>
      <c r="AB41" s="211">
        <f>SUM(AB33:AB40)</f>
        <v>0</v>
      </c>
      <c r="AC41" s="211">
        <f>SUM(AC33:AC40)</f>
        <v>0</v>
      </c>
      <c r="AD41" s="212"/>
      <c r="AE41" s="213"/>
      <c r="AG41" s="282"/>
      <c r="AH41" s="210"/>
      <c r="AI41" s="211">
        <f>SUM(AI33:AI40)</f>
        <v>0</v>
      </c>
      <c r="AJ41" s="211">
        <f>SUM(AJ33:AJ40)</f>
        <v>0</v>
      </c>
      <c r="AK41" s="211">
        <f>SUM(AK33:AK40)</f>
        <v>0</v>
      </c>
      <c r="AL41" s="212"/>
      <c r="AM41" s="213"/>
    </row>
    <row r="42" spans="1:39">
      <c r="A42" s="280">
        <v>25</v>
      </c>
      <c r="B42" s="190">
        <v>0</v>
      </c>
      <c r="C42" s="191">
        <f>IFERROR(GETPIVOTDATA("Amount",'22-23 F195 ExpendPivot'!$A$5:$K$2119,"CCDDD",'2022-23 Worksheet A'!$B$6,"Program","21","Activity","25","Object","0"),0)</f>
        <v>0</v>
      </c>
      <c r="D42" s="208">
        <v>0</v>
      </c>
      <c r="E42" s="191"/>
      <c r="F42" s="196">
        <f t="shared" si="5"/>
        <v>0</v>
      </c>
      <c r="G42" s="193"/>
      <c r="I42" s="280">
        <v>25</v>
      </c>
      <c r="J42" s="190">
        <v>0</v>
      </c>
      <c r="K42" s="191">
        <f>IFERROR(GETPIVOTDATA("Amount",'22-23 F195 ExpendPivot'!$A$5:$K$2119,"CCDDD",'2022-23 Worksheet A'!$B$6,"Program","25","Activity","25","Object","0"),0)</f>
        <v>0</v>
      </c>
      <c r="L42" s="208">
        <v>0</v>
      </c>
      <c r="M42" s="191"/>
      <c r="N42" s="192">
        <f t="shared" ref="N42:N49" si="28">IFERROR((M42-K42)/K42,0)</f>
        <v>0</v>
      </c>
      <c r="O42" s="193"/>
      <c r="Q42" s="280">
        <v>25</v>
      </c>
      <c r="R42" s="190">
        <v>0</v>
      </c>
      <c r="S42" s="191">
        <f>IFERROR(GETPIVOTDATA("Amount",'22-23 F195 ExpendPivot'!$A$5:$K$2119,"CCDDD",'2022-23 Worksheet A'!$B$6,"Program","25","Activity","25","Object","0"),0)</f>
        <v>0</v>
      </c>
      <c r="T42" s="208">
        <v>0</v>
      </c>
      <c r="U42" s="191"/>
      <c r="V42" s="192">
        <f t="shared" si="7"/>
        <v>0</v>
      </c>
      <c r="W42" s="193"/>
      <c r="Y42" s="280">
        <v>25</v>
      </c>
      <c r="Z42" s="190">
        <v>0</v>
      </c>
      <c r="AA42" s="191">
        <f>IFERROR(GETPIVOTDATA("Amount",'22-23 F195 ExpendPivot'!$A$5:$K$2119,"CCDDD",'2022-23 Worksheet A'!$B$6,"Program","26","Activity","25","Object","0"),0)</f>
        <v>0</v>
      </c>
      <c r="AB42" s="208">
        <v>0</v>
      </c>
      <c r="AC42" s="191"/>
      <c r="AD42" s="192">
        <f t="shared" si="8"/>
        <v>0</v>
      </c>
      <c r="AE42" s="193"/>
      <c r="AG42" s="280">
        <v>25</v>
      </c>
      <c r="AH42" s="190">
        <v>0</v>
      </c>
      <c r="AI42" s="191">
        <f>IFERROR(GETPIVOTDATA("Amount",'22-23 F195 ExpendPivot'!$A$5:$K$2119,"CCDDD",'2022-23 Worksheet A'!$B$6,"Program","29","Activity","25","Object","0"),0)</f>
        <v>0</v>
      </c>
      <c r="AJ42" s="208">
        <v>0</v>
      </c>
      <c r="AK42" s="191"/>
      <c r="AL42" s="192">
        <f t="shared" si="9"/>
        <v>0</v>
      </c>
      <c r="AM42" s="193"/>
    </row>
    <row r="43" spans="1:39">
      <c r="A43" s="281"/>
      <c r="B43" s="194">
        <v>2</v>
      </c>
      <c r="C43" s="195">
        <f>IFERROR(GETPIVOTDATA("Amount",'22-23 F195 ExpendPivot'!$A$5:$K$2119,"CCDDD",'2022-23 Worksheet A'!$B$6,"Program","21","Activity","25","Object","2"),0)</f>
        <v>0</v>
      </c>
      <c r="D43" s="209">
        <v>0</v>
      </c>
      <c r="E43" s="195">
        <f t="shared" ref="E43:E49" si="29">D43/$D$3*12</f>
        <v>0</v>
      </c>
      <c r="F43" s="196">
        <f t="shared" si="5"/>
        <v>0</v>
      </c>
      <c r="G43" s="189"/>
      <c r="I43" s="281"/>
      <c r="J43" s="194">
        <v>2</v>
      </c>
      <c r="K43" s="195">
        <f>IFERROR(GETPIVOTDATA("Amount",'22-23 F195 ExpendPivot'!$A$5:$K$2119,"CCDDD",'2022-23 Worksheet A'!$B$6,"Program","25","Activity","25","Object","2"),0)</f>
        <v>0</v>
      </c>
      <c r="L43" s="209">
        <v>0</v>
      </c>
      <c r="M43" s="195">
        <f t="shared" ref="M43:M49" si="30">L43/$D$3*12</f>
        <v>0</v>
      </c>
      <c r="N43" s="196">
        <f t="shared" si="28"/>
        <v>0</v>
      </c>
      <c r="O43" s="189"/>
      <c r="Q43" s="281"/>
      <c r="R43" s="194">
        <v>2</v>
      </c>
      <c r="S43" s="195">
        <f>IFERROR(GETPIVOTDATA("Amount",'22-23 F195 ExpendPivot'!$A$5:$K$2119,"CCDDD",'2022-23 Worksheet A'!$B$6,"Program","25","Activity","25","Object","2"),0)</f>
        <v>0</v>
      </c>
      <c r="T43" s="209">
        <v>0</v>
      </c>
      <c r="U43" s="195">
        <f t="shared" ref="U43:U49" si="31">T43/$D$3*12</f>
        <v>0</v>
      </c>
      <c r="V43" s="196">
        <f t="shared" si="7"/>
        <v>0</v>
      </c>
      <c r="W43" s="189"/>
      <c r="Y43" s="281"/>
      <c r="Z43" s="194">
        <v>2</v>
      </c>
      <c r="AA43" s="195">
        <f>IFERROR(GETPIVOTDATA("Amount",'22-23 F195 ExpendPivot'!$A$5:$K$2119,"CCDDD",'2022-23 Worksheet A'!$B$6,"Program","26","Activity","25","Object","2"),0)</f>
        <v>0</v>
      </c>
      <c r="AB43" s="209">
        <v>0</v>
      </c>
      <c r="AC43" s="195">
        <f t="shared" ref="AC43:AC49" si="32">AB43/$D$3*12</f>
        <v>0</v>
      </c>
      <c r="AD43" s="196">
        <f t="shared" si="8"/>
        <v>0</v>
      </c>
      <c r="AE43" s="189"/>
      <c r="AG43" s="281"/>
      <c r="AH43" s="194">
        <v>2</v>
      </c>
      <c r="AI43" s="195">
        <f>IFERROR(GETPIVOTDATA("Amount",'22-23 F195 ExpendPivot'!$A$5:$K$2119,"CCDDD",'2022-23 Worksheet A'!$B$6,"Program","29","Activity","25","Object","2"),0)</f>
        <v>0</v>
      </c>
      <c r="AJ43" s="209">
        <v>0</v>
      </c>
      <c r="AK43" s="195">
        <f t="shared" ref="AK43:AK49" si="33">AJ43/$D$3*12</f>
        <v>0</v>
      </c>
      <c r="AL43" s="196">
        <f t="shared" si="9"/>
        <v>0</v>
      </c>
      <c r="AM43" s="189"/>
    </row>
    <row r="44" spans="1:39">
      <c r="A44" s="281"/>
      <c r="B44" s="194">
        <v>3</v>
      </c>
      <c r="C44" s="195">
        <f>IFERROR(GETPIVOTDATA("Amount",'22-23 F195 ExpendPivot'!$A$5:$K$2119,"CCDDD",'2022-23 Worksheet A'!$B$6,"Program","21","Activity","25","Object","3"),0)</f>
        <v>0</v>
      </c>
      <c r="D44" s="209">
        <v>0</v>
      </c>
      <c r="E44" s="195">
        <f t="shared" si="29"/>
        <v>0</v>
      </c>
      <c r="F44" s="196">
        <f t="shared" si="5"/>
        <v>0</v>
      </c>
      <c r="G44" s="189"/>
      <c r="I44" s="281"/>
      <c r="J44" s="194">
        <v>3</v>
      </c>
      <c r="K44" s="195">
        <f>IFERROR(GETPIVOTDATA("Amount",'22-23 F195 ExpendPivot'!$A$5:$K$2119,"CCDDD",'2022-23 Worksheet A'!$B$6,"Program","25","Activity","25","Object","3"),0)</f>
        <v>0</v>
      </c>
      <c r="L44" s="209">
        <v>0</v>
      </c>
      <c r="M44" s="195">
        <f t="shared" si="30"/>
        <v>0</v>
      </c>
      <c r="N44" s="196">
        <f t="shared" si="28"/>
        <v>0</v>
      </c>
      <c r="O44" s="189"/>
      <c r="Q44" s="281"/>
      <c r="R44" s="194">
        <v>3</v>
      </c>
      <c r="S44" s="195">
        <f>IFERROR(GETPIVOTDATA("Amount",'22-23 F195 ExpendPivot'!$A$5:$K$2119,"CCDDD",'2022-23 Worksheet A'!$B$6,"Program","25","Activity","25","Object","3"),0)</f>
        <v>0</v>
      </c>
      <c r="T44" s="209">
        <v>0</v>
      </c>
      <c r="U44" s="195">
        <f t="shared" si="31"/>
        <v>0</v>
      </c>
      <c r="V44" s="196">
        <f t="shared" si="7"/>
        <v>0</v>
      </c>
      <c r="W44" s="189"/>
      <c r="Y44" s="281"/>
      <c r="Z44" s="194">
        <v>3</v>
      </c>
      <c r="AA44" s="195">
        <f>IFERROR(GETPIVOTDATA("Amount",'22-23 F195 ExpendPivot'!$A$5:$K$2119,"CCDDD",'2022-23 Worksheet A'!$B$6,"Program","26","Activity","25","Object","3"),0)</f>
        <v>0</v>
      </c>
      <c r="AB44" s="209">
        <v>0</v>
      </c>
      <c r="AC44" s="195">
        <f t="shared" si="32"/>
        <v>0</v>
      </c>
      <c r="AD44" s="196">
        <f t="shared" si="8"/>
        <v>0</v>
      </c>
      <c r="AE44" s="189"/>
      <c r="AG44" s="281"/>
      <c r="AH44" s="194">
        <v>3</v>
      </c>
      <c r="AI44" s="195">
        <f>IFERROR(GETPIVOTDATA("Amount",'22-23 F195 ExpendPivot'!$A$5:$K$2119,"CCDDD",'2022-23 Worksheet A'!$B$6,"Program","29","Activity","25","Object","3"),0)</f>
        <v>0</v>
      </c>
      <c r="AJ44" s="209">
        <v>0</v>
      </c>
      <c r="AK44" s="195">
        <f t="shared" si="33"/>
        <v>0</v>
      </c>
      <c r="AL44" s="196">
        <f t="shared" si="9"/>
        <v>0</v>
      </c>
      <c r="AM44" s="189"/>
    </row>
    <row r="45" spans="1:39">
      <c r="A45" s="281"/>
      <c r="B45" s="194">
        <v>4</v>
      </c>
      <c r="C45" s="195">
        <f>IFERROR(GETPIVOTDATA("Amount",'22-23 F195 ExpendPivot'!$A$5:$K$2119,"CCDDD",'2022-23 Worksheet A'!$B$6,"Program","21","Activity","25","Object","4"),0)</f>
        <v>0</v>
      </c>
      <c r="D45" s="209">
        <v>0</v>
      </c>
      <c r="E45" s="195">
        <f t="shared" si="29"/>
        <v>0</v>
      </c>
      <c r="F45" s="196">
        <f t="shared" si="5"/>
        <v>0</v>
      </c>
      <c r="G45" s="189"/>
      <c r="I45" s="281"/>
      <c r="J45" s="194">
        <v>4</v>
      </c>
      <c r="K45" s="195">
        <f>IFERROR(GETPIVOTDATA("Amount",'22-23 F195 ExpendPivot'!$A$5:$K$2119,"CCDDD",'2022-23 Worksheet A'!$B$6,"Program","25","Activity","25","Object","4"),0)</f>
        <v>0</v>
      </c>
      <c r="L45" s="209">
        <v>0</v>
      </c>
      <c r="M45" s="195">
        <f t="shared" si="30"/>
        <v>0</v>
      </c>
      <c r="N45" s="196">
        <f t="shared" si="28"/>
        <v>0</v>
      </c>
      <c r="O45" s="189"/>
      <c r="Q45" s="281"/>
      <c r="R45" s="194">
        <v>4</v>
      </c>
      <c r="S45" s="195">
        <f>IFERROR(GETPIVOTDATA("Amount",'22-23 F195 ExpendPivot'!$A$5:$K$2119,"CCDDD",'2022-23 Worksheet A'!$B$6,"Program","25","Activity","25","Object","4"),0)</f>
        <v>0</v>
      </c>
      <c r="T45" s="209">
        <v>0</v>
      </c>
      <c r="U45" s="195">
        <f t="shared" si="31"/>
        <v>0</v>
      </c>
      <c r="V45" s="196">
        <f t="shared" si="7"/>
        <v>0</v>
      </c>
      <c r="W45" s="189"/>
      <c r="Y45" s="281"/>
      <c r="Z45" s="194">
        <v>4</v>
      </c>
      <c r="AA45" s="195">
        <f>IFERROR(GETPIVOTDATA("Amount",'22-23 F195 ExpendPivot'!$A$5:$K$2119,"CCDDD",'2022-23 Worksheet A'!$B$6,"Program","26","Activity","25","Object","4"),0)</f>
        <v>0</v>
      </c>
      <c r="AB45" s="209">
        <v>0</v>
      </c>
      <c r="AC45" s="195">
        <f t="shared" si="32"/>
        <v>0</v>
      </c>
      <c r="AD45" s="196">
        <f t="shared" si="8"/>
        <v>0</v>
      </c>
      <c r="AE45" s="189"/>
      <c r="AG45" s="281"/>
      <c r="AH45" s="194">
        <v>4</v>
      </c>
      <c r="AI45" s="195">
        <f>IFERROR(GETPIVOTDATA("Amount",'22-23 F195 ExpendPivot'!$A$5:$K$2119,"CCDDD",'2022-23 Worksheet A'!$B$6,"Program","29","Activity","25","Object","4"),0)</f>
        <v>0</v>
      </c>
      <c r="AJ45" s="209">
        <v>0</v>
      </c>
      <c r="AK45" s="195">
        <f t="shared" si="33"/>
        <v>0</v>
      </c>
      <c r="AL45" s="196">
        <f t="shared" si="9"/>
        <v>0</v>
      </c>
      <c r="AM45" s="189"/>
    </row>
    <row r="46" spans="1:39">
      <c r="A46" s="281"/>
      <c r="B46" s="194">
        <v>5</v>
      </c>
      <c r="C46" s="195">
        <f>IFERROR(GETPIVOTDATA("Amount",'22-23 F195 ExpendPivot'!$A$5:$K$2119,"CCDDD",'2022-23 Worksheet A'!$B$6,"Program","21","Activity","25","Object","5"),0)</f>
        <v>0</v>
      </c>
      <c r="D46" s="209">
        <v>0</v>
      </c>
      <c r="E46" s="195">
        <f t="shared" si="29"/>
        <v>0</v>
      </c>
      <c r="F46" s="196">
        <f t="shared" si="5"/>
        <v>0</v>
      </c>
      <c r="G46" s="189"/>
      <c r="I46" s="281"/>
      <c r="J46" s="194">
        <v>5</v>
      </c>
      <c r="K46" s="195">
        <f>IFERROR(GETPIVOTDATA("Amount",'22-23 F195 ExpendPivot'!$A$5:$K$2119,"CCDDD",'2022-23 Worksheet A'!$B$6,"Program","25","Activity","25","Object","5"),0)</f>
        <v>0</v>
      </c>
      <c r="L46" s="209">
        <v>0</v>
      </c>
      <c r="M46" s="195">
        <f t="shared" si="30"/>
        <v>0</v>
      </c>
      <c r="N46" s="196">
        <f t="shared" si="28"/>
        <v>0</v>
      </c>
      <c r="O46" s="189"/>
      <c r="Q46" s="281"/>
      <c r="R46" s="194">
        <v>5</v>
      </c>
      <c r="S46" s="195">
        <f>IFERROR(GETPIVOTDATA("Amount",'22-23 F195 ExpendPivot'!$A$5:$K$2119,"CCDDD",'2022-23 Worksheet A'!$B$6,"Program","25","Activity","25","Object","5"),0)</f>
        <v>0</v>
      </c>
      <c r="T46" s="209">
        <v>0</v>
      </c>
      <c r="U46" s="195">
        <f t="shared" si="31"/>
        <v>0</v>
      </c>
      <c r="V46" s="196">
        <f t="shared" si="7"/>
        <v>0</v>
      </c>
      <c r="W46" s="189"/>
      <c r="Y46" s="281"/>
      <c r="Z46" s="194">
        <v>5</v>
      </c>
      <c r="AA46" s="195">
        <f>IFERROR(GETPIVOTDATA("Amount",'22-23 F195 ExpendPivot'!$A$5:$K$2119,"CCDDD",'2022-23 Worksheet A'!$B$6,"Program","26","Activity","25","Object","5"),0)</f>
        <v>0</v>
      </c>
      <c r="AB46" s="209">
        <v>0</v>
      </c>
      <c r="AC46" s="195">
        <f t="shared" si="32"/>
        <v>0</v>
      </c>
      <c r="AD46" s="196">
        <f t="shared" si="8"/>
        <v>0</v>
      </c>
      <c r="AE46" s="189"/>
      <c r="AG46" s="281"/>
      <c r="AH46" s="194">
        <v>5</v>
      </c>
      <c r="AI46" s="195">
        <f>IFERROR(GETPIVOTDATA("Amount",'22-23 F195 ExpendPivot'!$A$5:$K$2119,"CCDDD",'2022-23 Worksheet A'!$B$6,"Program","29","Activity","25","Object","5"),0)</f>
        <v>0</v>
      </c>
      <c r="AJ46" s="209">
        <v>0</v>
      </c>
      <c r="AK46" s="195">
        <f t="shared" si="33"/>
        <v>0</v>
      </c>
      <c r="AL46" s="196">
        <f t="shared" si="9"/>
        <v>0</v>
      </c>
      <c r="AM46" s="189"/>
    </row>
    <row r="47" spans="1:39">
      <c r="A47" s="281"/>
      <c r="B47" s="194">
        <v>7</v>
      </c>
      <c r="C47" s="195">
        <f>IFERROR(GETPIVOTDATA("Amount",'22-23 F195 ExpendPivot'!$A$5:$K$2119,"CCDDD",'2022-23 Worksheet A'!$B$6,"Program","21","Activity","25","Object","7"),0)</f>
        <v>0</v>
      </c>
      <c r="D47" s="209">
        <v>0</v>
      </c>
      <c r="E47" s="195">
        <f t="shared" si="29"/>
        <v>0</v>
      </c>
      <c r="F47" s="196">
        <f t="shared" si="5"/>
        <v>0</v>
      </c>
      <c r="G47" s="189"/>
      <c r="I47" s="281"/>
      <c r="J47" s="194">
        <v>7</v>
      </c>
      <c r="K47" s="195">
        <f>IFERROR(GETPIVOTDATA("Amount",'22-23 F195 ExpendPivot'!$A$5:$K$2119,"CCDDD",'2022-23 Worksheet A'!$B$6,"Program","25","Activity","25","Object","7"),0)</f>
        <v>0</v>
      </c>
      <c r="L47" s="209">
        <v>0</v>
      </c>
      <c r="M47" s="195">
        <f t="shared" si="30"/>
        <v>0</v>
      </c>
      <c r="N47" s="196">
        <f t="shared" si="28"/>
        <v>0</v>
      </c>
      <c r="O47" s="189"/>
      <c r="Q47" s="281"/>
      <c r="R47" s="194">
        <v>7</v>
      </c>
      <c r="S47" s="195">
        <f>IFERROR(GETPIVOTDATA("Amount",'22-23 F195 ExpendPivot'!$A$5:$K$2119,"CCDDD",'2022-23 Worksheet A'!$B$6,"Program","25","Activity","25","Object","7"),0)</f>
        <v>0</v>
      </c>
      <c r="T47" s="209">
        <v>0</v>
      </c>
      <c r="U47" s="195">
        <f t="shared" si="31"/>
        <v>0</v>
      </c>
      <c r="V47" s="196">
        <f t="shared" si="7"/>
        <v>0</v>
      </c>
      <c r="W47" s="189"/>
      <c r="Y47" s="281"/>
      <c r="Z47" s="194">
        <v>7</v>
      </c>
      <c r="AA47" s="195">
        <f>IFERROR(GETPIVOTDATA("Amount",'22-23 F195 ExpendPivot'!$A$5:$K$2119,"CCDDD",'2022-23 Worksheet A'!$B$6,"Program","26","Activity","25","Object","7"),0)</f>
        <v>0</v>
      </c>
      <c r="AB47" s="209">
        <v>0</v>
      </c>
      <c r="AC47" s="195">
        <f t="shared" si="32"/>
        <v>0</v>
      </c>
      <c r="AD47" s="196">
        <f t="shared" si="8"/>
        <v>0</v>
      </c>
      <c r="AE47" s="189"/>
      <c r="AG47" s="281"/>
      <c r="AH47" s="194">
        <v>7</v>
      </c>
      <c r="AI47" s="195">
        <f>IFERROR(GETPIVOTDATA("Amount",'22-23 F195 ExpendPivot'!$A$5:$K$2119,"CCDDD",'2022-23 Worksheet A'!$B$6,"Program","29","Activity","25","Object","7"),0)</f>
        <v>0</v>
      </c>
      <c r="AJ47" s="209">
        <v>0</v>
      </c>
      <c r="AK47" s="195">
        <f t="shared" si="33"/>
        <v>0</v>
      </c>
      <c r="AL47" s="196">
        <f t="shared" si="9"/>
        <v>0</v>
      </c>
      <c r="AM47" s="189"/>
    </row>
    <row r="48" spans="1:39">
      <c r="A48" s="281"/>
      <c r="B48" s="194">
        <v>8</v>
      </c>
      <c r="C48" s="195">
        <f>IFERROR(GETPIVOTDATA("Amount",'22-23 F195 ExpendPivot'!$A$5:$K$2119,"CCDDD",'2022-23 Worksheet A'!$B$6,"Program","21","Activity","25","Object","8"),0)</f>
        <v>0</v>
      </c>
      <c r="D48" s="209">
        <v>0</v>
      </c>
      <c r="E48" s="195">
        <f t="shared" si="29"/>
        <v>0</v>
      </c>
      <c r="F48" s="196">
        <f t="shared" si="5"/>
        <v>0</v>
      </c>
      <c r="G48" s="189"/>
      <c r="I48" s="281"/>
      <c r="J48" s="194">
        <v>8</v>
      </c>
      <c r="K48" s="195">
        <f>IFERROR(GETPIVOTDATA("Amount",'22-23 F195 ExpendPivot'!$A$5:$K$2119,"CCDDD",'2022-23 Worksheet A'!$B$6,"Program","25","Activity","25","Object","8"),0)</f>
        <v>0</v>
      </c>
      <c r="L48" s="209">
        <v>0</v>
      </c>
      <c r="M48" s="195">
        <f t="shared" si="30"/>
        <v>0</v>
      </c>
      <c r="N48" s="196">
        <f t="shared" si="28"/>
        <v>0</v>
      </c>
      <c r="O48" s="189"/>
      <c r="Q48" s="281"/>
      <c r="R48" s="194">
        <v>8</v>
      </c>
      <c r="S48" s="195">
        <f>IFERROR(GETPIVOTDATA("Amount",'22-23 F195 ExpendPivot'!$A$5:$K$2119,"CCDDD",'2022-23 Worksheet A'!$B$6,"Program","25","Activity","25","Object","8"),0)</f>
        <v>0</v>
      </c>
      <c r="T48" s="209">
        <v>0</v>
      </c>
      <c r="U48" s="195">
        <f t="shared" si="31"/>
        <v>0</v>
      </c>
      <c r="V48" s="196">
        <f t="shared" si="7"/>
        <v>0</v>
      </c>
      <c r="W48" s="189"/>
      <c r="Y48" s="281"/>
      <c r="Z48" s="194">
        <v>8</v>
      </c>
      <c r="AA48" s="195">
        <f>IFERROR(GETPIVOTDATA("Amount",'22-23 F195 ExpendPivot'!$A$5:$K$2119,"CCDDD",'2022-23 Worksheet A'!$B$6,"Program","26","Activity","25","Object","8"),0)</f>
        <v>0</v>
      </c>
      <c r="AB48" s="209">
        <v>0</v>
      </c>
      <c r="AC48" s="195">
        <f t="shared" si="32"/>
        <v>0</v>
      </c>
      <c r="AD48" s="196">
        <f t="shared" si="8"/>
        <v>0</v>
      </c>
      <c r="AE48" s="189"/>
      <c r="AG48" s="281"/>
      <c r="AH48" s="194">
        <v>8</v>
      </c>
      <c r="AI48" s="195">
        <f>IFERROR(GETPIVOTDATA("Amount",'22-23 F195 ExpendPivot'!$A$5:$K$2119,"CCDDD",'2022-23 Worksheet A'!$B$6,"Program","29","Activity","25","Object","8"),0)</f>
        <v>0</v>
      </c>
      <c r="AJ48" s="209">
        <v>0</v>
      </c>
      <c r="AK48" s="195">
        <f t="shared" si="33"/>
        <v>0</v>
      </c>
      <c r="AL48" s="196">
        <f t="shared" si="9"/>
        <v>0</v>
      </c>
      <c r="AM48" s="189"/>
    </row>
    <row r="49" spans="1:39">
      <c r="A49" s="281"/>
      <c r="B49" s="194">
        <v>9</v>
      </c>
      <c r="C49" s="195">
        <f>IFERROR(GETPIVOTDATA("Amount",'22-23 F195 ExpendPivot'!$A$5:$K$2119,"CCDDD",'2022-23 Worksheet A'!$B$6,"Program","21","Activity","25","Object","9"),0)</f>
        <v>0</v>
      </c>
      <c r="D49" s="209">
        <v>0</v>
      </c>
      <c r="E49" s="195">
        <f t="shared" si="29"/>
        <v>0</v>
      </c>
      <c r="F49" s="196">
        <f t="shared" si="5"/>
        <v>0</v>
      </c>
      <c r="G49" s="189"/>
      <c r="I49" s="281"/>
      <c r="J49" s="194">
        <v>9</v>
      </c>
      <c r="K49" s="195">
        <f>IFERROR(GETPIVOTDATA("Amount",'22-23 F195 ExpendPivot'!$A$5:$K$2119,"CCDDD",'2022-23 Worksheet A'!$B$6,"Program","25","Activity","25","Object","9"),0)</f>
        <v>0</v>
      </c>
      <c r="L49" s="209">
        <v>0</v>
      </c>
      <c r="M49" s="195">
        <f t="shared" si="30"/>
        <v>0</v>
      </c>
      <c r="N49" s="196">
        <f t="shared" si="28"/>
        <v>0</v>
      </c>
      <c r="O49" s="189"/>
      <c r="Q49" s="281"/>
      <c r="R49" s="194">
        <v>9</v>
      </c>
      <c r="S49" s="195">
        <f>IFERROR(GETPIVOTDATA("Amount",'22-23 F195 ExpendPivot'!$A$5:$K$2119,"CCDDD",'2022-23 Worksheet A'!$B$6,"Program","25","Activity","25","Object","9"),0)</f>
        <v>0</v>
      </c>
      <c r="T49" s="209">
        <v>0</v>
      </c>
      <c r="U49" s="195">
        <f t="shared" si="31"/>
        <v>0</v>
      </c>
      <c r="V49" s="196">
        <f t="shared" si="7"/>
        <v>0</v>
      </c>
      <c r="W49" s="189"/>
      <c r="Y49" s="281"/>
      <c r="Z49" s="194">
        <v>9</v>
      </c>
      <c r="AA49" s="195">
        <f>IFERROR(GETPIVOTDATA("Amount",'22-23 F195 ExpendPivot'!$A$5:$K$2119,"CCDDD",'2022-23 Worksheet A'!$B$6,"Program","26","Activity","25","Object","9"),0)</f>
        <v>0</v>
      </c>
      <c r="AB49" s="209">
        <v>0</v>
      </c>
      <c r="AC49" s="195">
        <f t="shared" si="32"/>
        <v>0</v>
      </c>
      <c r="AD49" s="196">
        <f t="shared" si="8"/>
        <v>0</v>
      </c>
      <c r="AE49" s="189"/>
      <c r="AG49" s="281"/>
      <c r="AH49" s="194">
        <v>9</v>
      </c>
      <c r="AI49" s="195">
        <f>IFERROR(GETPIVOTDATA("Amount",'22-23 F195 ExpendPivot'!$A$5:$K$2119,"CCDDD",'2022-23 Worksheet A'!$B$6,"Program","29","Activity","25","Object","9"),0)</f>
        <v>0</v>
      </c>
      <c r="AJ49" s="209">
        <v>0</v>
      </c>
      <c r="AK49" s="195">
        <f t="shared" si="33"/>
        <v>0</v>
      </c>
      <c r="AL49" s="196">
        <f t="shared" si="9"/>
        <v>0</v>
      </c>
      <c r="AM49" s="189"/>
    </row>
    <row r="50" spans="1:39">
      <c r="A50" s="282"/>
      <c r="B50" s="210"/>
      <c r="C50" s="211">
        <f>SUM(C42:C49)</f>
        <v>0</v>
      </c>
      <c r="D50" s="211">
        <f>SUM(D42:D49)</f>
        <v>0</v>
      </c>
      <c r="E50" s="211">
        <f>SUM(E42:E49)</f>
        <v>0</v>
      </c>
      <c r="F50" s="212"/>
      <c r="G50" s="213"/>
      <c r="I50" s="282"/>
      <c r="J50" s="210"/>
      <c r="K50" s="211">
        <f>SUM(K42:K49)</f>
        <v>0</v>
      </c>
      <c r="L50" s="211">
        <f>SUM(L42:L49)</f>
        <v>0</v>
      </c>
      <c r="M50" s="211">
        <f>SUM(M42:M49)</f>
        <v>0</v>
      </c>
      <c r="N50" s="212"/>
      <c r="O50" s="213"/>
      <c r="Q50" s="282"/>
      <c r="R50" s="210"/>
      <c r="S50" s="211">
        <f>SUM(S42:S49)</f>
        <v>0</v>
      </c>
      <c r="T50" s="211">
        <f>SUM(T42:T49)</f>
        <v>0</v>
      </c>
      <c r="U50" s="211">
        <f>SUM(U42:U49)</f>
        <v>0</v>
      </c>
      <c r="V50" s="212"/>
      <c r="W50" s="213"/>
      <c r="Y50" s="282"/>
      <c r="Z50" s="210"/>
      <c r="AA50" s="211">
        <f>SUM(AA42:AA49)</f>
        <v>0</v>
      </c>
      <c r="AB50" s="211">
        <f>SUM(AB42:AB49)</f>
        <v>0</v>
      </c>
      <c r="AC50" s="211">
        <f>SUM(AC42:AC49)</f>
        <v>0</v>
      </c>
      <c r="AD50" s="212"/>
      <c r="AE50" s="213"/>
      <c r="AG50" s="282"/>
      <c r="AH50" s="210"/>
      <c r="AI50" s="211">
        <f>SUM(AI42:AI49)</f>
        <v>0</v>
      </c>
      <c r="AJ50" s="211">
        <f>SUM(AJ42:AJ49)</f>
        <v>0</v>
      </c>
      <c r="AK50" s="211">
        <f>SUM(AK42:AK49)</f>
        <v>0</v>
      </c>
      <c r="AL50" s="212"/>
      <c r="AM50" s="213"/>
    </row>
    <row r="51" spans="1:39">
      <c r="A51" s="280">
        <v>26</v>
      </c>
      <c r="B51" s="190">
        <v>0</v>
      </c>
      <c r="C51" s="191">
        <f>IFERROR(GETPIVOTDATA("Amount",'22-23 F195 ExpendPivot'!$A$5:$K$2119,"CCDDD",'2022-23 Worksheet A'!$B$6,"Program","21","Activity","26","Object","0"),0)</f>
        <v>0</v>
      </c>
      <c r="D51" s="208">
        <v>0</v>
      </c>
      <c r="E51" s="191"/>
      <c r="F51" s="196">
        <f t="shared" si="5"/>
        <v>0</v>
      </c>
      <c r="G51" s="193"/>
      <c r="I51" s="280">
        <v>26</v>
      </c>
      <c r="J51" s="190">
        <v>0</v>
      </c>
      <c r="K51" s="191">
        <f>IFERROR(GETPIVOTDATA("Amount",'22-23 F195 ExpendPivot'!$A$5:$K$2119,"CCDDD",'2022-23 Worksheet A'!$B$6,"Program","23","Activity","26","Object","0"),0)</f>
        <v>0</v>
      </c>
      <c r="L51" s="208">
        <v>0</v>
      </c>
      <c r="M51" s="191"/>
      <c r="N51" s="192">
        <f t="shared" ref="N51:N58" si="34">IFERROR((M51-K51)/K51,0)</f>
        <v>0</v>
      </c>
      <c r="O51" s="193"/>
      <c r="Q51" s="280">
        <v>26</v>
      </c>
      <c r="R51" s="190">
        <v>0</v>
      </c>
      <c r="S51" s="191">
        <f>IFERROR(GETPIVOTDATA("Amount",'22-23 F195 ExpendPivot'!$A$5:$K$2119,"CCDDD",'2022-23 Worksheet A'!$B$6,"Program","24","Activity","26","Object","0"),0)</f>
        <v>0</v>
      </c>
      <c r="T51" s="208">
        <v>0</v>
      </c>
      <c r="U51" s="191"/>
      <c r="V51" s="192">
        <f t="shared" si="7"/>
        <v>0</v>
      </c>
      <c r="W51" s="193"/>
      <c r="Y51" s="280">
        <v>26</v>
      </c>
      <c r="Z51" s="190">
        <v>0</v>
      </c>
      <c r="AA51" s="191">
        <f>IFERROR(GETPIVOTDATA("Amount",'22-23 F195 ExpendPivot'!$A$5:$K$2119,"CCDDD",'2022-23 Worksheet A'!$B$6,"Program","26","Activity","26","Object","0"),0)</f>
        <v>0</v>
      </c>
      <c r="AB51" s="208">
        <v>0</v>
      </c>
      <c r="AC51" s="191"/>
      <c r="AD51" s="192">
        <f t="shared" si="8"/>
        <v>0</v>
      </c>
      <c r="AE51" s="193"/>
      <c r="AG51" s="280">
        <v>26</v>
      </c>
      <c r="AH51" s="190">
        <v>0</v>
      </c>
      <c r="AI51" s="191">
        <f>IFERROR(GETPIVOTDATA("Amount",'22-23 F195 ExpendPivot'!$A$5:$K$2119,"CCDDD",'2022-23 Worksheet A'!$B$6,"Program","29","Activity","26","Object","0"),0)</f>
        <v>0</v>
      </c>
      <c r="AJ51" s="208">
        <v>0</v>
      </c>
      <c r="AK51" s="191"/>
      <c r="AL51" s="192">
        <f t="shared" si="9"/>
        <v>0</v>
      </c>
      <c r="AM51" s="193"/>
    </row>
    <row r="52" spans="1:39">
      <c r="A52" s="281"/>
      <c r="B52" s="194">
        <v>2</v>
      </c>
      <c r="C52" s="195">
        <f>IFERROR(GETPIVOTDATA("Amount",'22-23 F195 ExpendPivot'!$A$5:$K$2119,"CCDDD",'2022-23 Worksheet A'!$B$6,"Program","21","Activity","26","Object","2"),0)</f>
        <v>0</v>
      </c>
      <c r="D52" s="209">
        <v>0</v>
      </c>
      <c r="E52" s="195">
        <f t="shared" ref="E52:E58" si="35">D52/$D$3*12</f>
        <v>0</v>
      </c>
      <c r="F52" s="196">
        <f t="shared" si="5"/>
        <v>0</v>
      </c>
      <c r="G52" s="189"/>
      <c r="I52" s="281"/>
      <c r="J52" s="194">
        <v>2</v>
      </c>
      <c r="K52" s="195">
        <f>IFERROR(GETPIVOTDATA("Amount",'22-23 F195 ExpendPivot'!$A$5:$K$2119,"CCDDD",'2022-23 Worksheet A'!$B$6,"Program","23","Activity","26","Object","2"),0)</f>
        <v>0</v>
      </c>
      <c r="L52" s="209">
        <v>0</v>
      </c>
      <c r="M52" s="195">
        <f t="shared" ref="M52:M58" si="36">L52/$D$3*12</f>
        <v>0</v>
      </c>
      <c r="N52" s="196">
        <f t="shared" si="34"/>
        <v>0</v>
      </c>
      <c r="O52" s="189"/>
      <c r="Q52" s="281"/>
      <c r="R52" s="194">
        <v>2</v>
      </c>
      <c r="S52" s="195">
        <f>IFERROR(GETPIVOTDATA("Amount",'22-23 F195 ExpendPivot'!$A$5:$K$2119,"CCDDD",'2022-23 Worksheet A'!$B$6,"Program","24","Activity","26","Object","2"),0)</f>
        <v>0</v>
      </c>
      <c r="T52" s="209">
        <v>0</v>
      </c>
      <c r="U52" s="195">
        <f t="shared" ref="U52:U58" si="37">T52/$D$3*12</f>
        <v>0</v>
      </c>
      <c r="V52" s="196">
        <f t="shared" si="7"/>
        <v>0</v>
      </c>
      <c r="W52" s="189"/>
      <c r="Y52" s="281"/>
      <c r="Z52" s="194">
        <v>2</v>
      </c>
      <c r="AA52" s="195">
        <f>IFERROR(GETPIVOTDATA("Amount",'22-23 F195 ExpendPivot'!$A$5:$K$2119,"CCDDD",'2022-23 Worksheet A'!$B$6,"Program","26","Activity","26","Object","2"),0)</f>
        <v>0</v>
      </c>
      <c r="AB52" s="209">
        <v>0</v>
      </c>
      <c r="AC52" s="195">
        <f t="shared" ref="AC52:AC58" si="38">AB52/$D$3*12</f>
        <v>0</v>
      </c>
      <c r="AD52" s="196">
        <f t="shared" si="8"/>
        <v>0</v>
      </c>
      <c r="AE52" s="189"/>
      <c r="AG52" s="281"/>
      <c r="AH52" s="194">
        <v>2</v>
      </c>
      <c r="AI52" s="195">
        <f>IFERROR(GETPIVOTDATA("Amount",'22-23 F195 ExpendPivot'!$A$5:$K$2119,"CCDDD",'2022-23 Worksheet A'!$B$6,"Program","29","Activity","26","Object","2"),0)</f>
        <v>0</v>
      </c>
      <c r="AJ52" s="209">
        <v>0</v>
      </c>
      <c r="AK52" s="195">
        <f t="shared" ref="AK52:AK58" si="39">AJ52/$D$3*12</f>
        <v>0</v>
      </c>
      <c r="AL52" s="196">
        <f t="shared" si="9"/>
        <v>0</v>
      </c>
      <c r="AM52" s="189"/>
    </row>
    <row r="53" spans="1:39">
      <c r="A53" s="281"/>
      <c r="B53" s="194">
        <v>3</v>
      </c>
      <c r="C53" s="195">
        <f>IFERROR(GETPIVOTDATA("Amount",'22-23 F195 ExpendPivot'!$A$5:$K$2119,"CCDDD",'2022-23 Worksheet A'!$B$6,"Program","21","Activity","26","Object","3"),0)</f>
        <v>0</v>
      </c>
      <c r="D53" s="209">
        <v>0</v>
      </c>
      <c r="E53" s="195">
        <f t="shared" si="35"/>
        <v>0</v>
      </c>
      <c r="F53" s="196">
        <f t="shared" si="5"/>
        <v>0</v>
      </c>
      <c r="G53" s="189"/>
      <c r="I53" s="281"/>
      <c r="J53" s="194">
        <v>3</v>
      </c>
      <c r="K53" s="195">
        <f>IFERROR(GETPIVOTDATA("Amount",'22-23 F195 ExpendPivot'!$A$5:$K$2119,"CCDDD",'2022-23 Worksheet A'!$B$6,"Program","23","Activity","26","Object","3"),0)</f>
        <v>0</v>
      </c>
      <c r="L53" s="209">
        <v>0</v>
      </c>
      <c r="M53" s="195">
        <f t="shared" si="36"/>
        <v>0</v>
      </c>
      <c r="N53" s="196">
        <f t="shared" si="34"/>
        <v>0</v>
      </c>
      <c r="O53" s="189"/>
      <c r="Q53" s="281"/>
      <c r="R53" s="194">
        <v>3</v>
      </c>
      <c r="S53" s="195">
        <f>IFERROR(GETPIVOTDATA("Amount",'22-23 F195 ExpendPivot'!$A$5:$K$2119,"CCDDD",'2022-23 Worksheet A'!$B$6,"Program","24","Activity","26","Object","3"),0)</f>
        <v>0</v>
      </c>
      <c r="T53" s="209">
        <v>0</v>
      </c>
      <c r="U53" s="195">
        <f t="shared" si="37"/>
        <v>0</v>
      </c>
      <c r="V53" s="196">
        <f t="shared" si="7"/>
        <v>0</v>
      </c>
      <c r="W53" s="189"/>
      <c r="Y53" s="281"/>
      <c r="Z53" s="194">
        <v>3</v>
      </c>
      <c r="AA53" s="195">
        <f>IFERROR(GETPIVOTDATA("Amount",'22-23 F195 ExpendPivot'!$A$5:$K$2119,"CCDDD",'2022-23 Worksheet A'!$B$6,"Program","26","Activity","26","Object","3"),0)</f>
        <v>0</v>
      </c>
      <c r="AB53" s="209">
        <v>0</v>
      </c>
      <c r="AC53" s="195">
        <f t="shared" si="38"/>
        <v>0</v>
      </c>
      <c r="AD53" s="196">
        <f t="shared" si="8"/>
        <v>0</v>
      </c>
      <c r="AE53" s="189"/>
      <c r="AG53" s="281"/>
      <c r="AH53" s="194">
        <v>3</v>
      </c>
      <c r="AI53" s="195">
        <f>IFERROR(GETPIVOTDATA("Amount",'22-23 F195 ExpendPivot'!$A$5:$K$2119,"CCDDD",'2022-23 Worksheet A'!$B$6,"Program","29","Activity","26","Object","3"),0)</f>
        <v>0</v>
      </c>
      <c r="AJ53" s="209">
        <v>0</v>
      </c>
      <c r="AK53" s="195">
        <f t="shared" si="39"/>
        <v>0</v>
      </c>
      <c r="AL53" s="196">
        <f t="shared" si="9"/>
        <v>0</v>
      </c>
      <c r="AM53" s="189"/>
    </row>
    <row r="54" spans="1:39">
      <c r="A54" s="281"/>
      <c r="B54" s="194">
        <v>4</v>
      </c>
      <c r="C54" s="195">
        <f>IFERROR(GETPIVOTDATA("Amount",'22-23 F195 ExpendPivot'!$A$5:$K$2119,"CCDDD",'2022-23 Worksheet A'!$B$6,"Program","21","Activity","26","Object","4"),0)</f>
        <v>0</v>
      </c>
      <c r="D54" s="209">
        <v>0</v>
      </c>
      <c r="E54" s="195">
        <f t="shared" si="35"/>
        <v>0</v>
      </c>
      <c r="F54" s="196">
        <f t="shared" si="5"/>
        <v>0</v>
      </c>
      <c r="G54" s="189"/>
      <c r="I54" s="281"/>
      <c r="J54" s="194">
        <v>4</v>
      </c>
      <c r="K54" s="195">
        <f>IFERROR(GETPIVOTDATA("Amount",'22-23 F195 ExpendPivot'!$A$5:$K$2119,"CCDDD",'2022-23 Worksheet A'!$B$6,"Program","23","Activity","26","Object","4"),0)</f>
        <v>0</v>
      </c>
      <c r="L54" s="209">
        <v>0</v>
      </c>
      <c r="M54" s="195">
        <f t="shared" si="36"/>
        <v>0</v>
      </c>
      <c r="N54" s="196">
        <f t="shared" si="34"/>
        <v>0</v>
      </c>
      <c r="O54" s="189"/>
      <c r="Q54" s="281"/>
      <c r="R54" s="194">
        <v>4</v>
      </c>
      <c r="S54" s="195">
        <f>IFERROR(GETPIVOTDATA("Amount",'22-23 F195 ExpendPivot'!$A$5:$K$2119,"CCDDD",'2022-23 Worksheet A'!$B$6,"Program","24","Activity","26","Object","4"),0)</f>
        <v>0</v>
      </c>
      <c r="T54" s="209">
        <v>0</v>
      </c>
      <c r="U54" s="195">
        <f t="shared" si="37"/>
        <v>0</v>
      </c>
      <c r="V54" s="196">
        <f t="shared" si="7"/>
        <v>0</v>
      </c>
      <c r="W54" s="189"/>
      <c r="Y54" s="281"/>
      <c r="Z54" s="194">
        <v>4</v>
      </c>
      <c r="AA54" s="195">
        <f>IFERROR(GETPIVOTDATA("Amount",'22-23 F195 ExpendPivot'!$A$5:$K$2119,"CCDDD",'2022-23 Worksheet A'!$B$6,"Program","26","Activity","26","Object","4"),0)</f>
        <v>0</v>
      </c>
      <c r="AB54" s="209">
        <v>0</v>
      </c>
      <c r="AC54" s="195">
        <f t="shared" si="38"/>
        <v>0</v>
      </c>
      <c r="AD54" s="196">
        <f t="shared" si="8"/>
        <v>0</v>
      </c>
      <c r="AE54" s="189"/>
      <c r="AG54" s="281"/>
      <c r="AH54" s="194">
        <v>4</v>
      </c>
      <c r="AI54" s="195">
        <f>IFERROR(GETPIVOTDATA("Amount",'22-23 F195 ExpendPivot'!$A$5:$K$2119,"CCDDD",'2022-23 Worksheet A'!$B$6,"Program","29","Activity","26","Object","4"),0)</f>
        <v>0</v>
      </c>
      <c r="AJ54" s="209">
        <v>0</v>
      </c>
      <c r="AK54" s="195">
        <f t="shared" si="39"/>
        <v>0</v>
      </c>
      <c r="AL54" s="196">
        <f t="shared" si="9"/>
        <v>0</v>
      </c>
      <c r="AM54" s="189"/>
    </row>
    <row r="55" spans="1:39">
      <c r="A55" s="281"/>
      <c r="B55" s="194">
        <v>5</v>
      </c>
      <c r="C55" s="195">
        <f>IFERROR(GETPIVOTDATA("Amount",'22-23 F195 ExpendPivot'!$A$5:$K$2119,"CCDDD",'2022-23 Worksheet A'!$B$6,"Program","21","Activity","26","Object","5"),0)</f>
        <v>0</v>
      </c>
      <c r="D55" s="209">
        <v>0</v>
      </c>
      <c r="E55" s="195">
        <f t="shared" si="35"/>
        <v>0</v>
      </c>
      <c r="F55" s="196">
        <f t="shared" si="5"/>
        <v>0</v>
      </c>
      <c r="G55" s="189"/>
      <c r="I55" s="281"/>
      <c r="J55" s="194">
        <v>5</v>
      </c>
      <c r="K55" s="195">
        <f>IFERROR(GETPIVOTDATA("Amount",'22-23 F195 ExpendPivot'!$A$5:$K$2119,"CCDDD",'2022-23 Worksheet A'!$B$6,"Program","23","Activity","26","Object","5"),0)</f>
        <v>0</v>
      </c>
      <c r="L55" s="209">
        <v>0</v>
      </c>
      <c r="M55" s="195">
        <f t="shared" si="36"/>
        <v>0</v>
      </c>
      <c r="N55" s="196">
        <f t="shared" si="34"/>
        <v>0</v>
      </c>
      <c r="O55" s="189"/>
      <c r="Q55" s="281"/>
      <c r="R55" s="194">
        <v>5</v>
      </c>
      <c r="S55" s="195">
        <f>IFERROR(GETPIVOTDATA("Amount",'22-23 F195 ExpendPivot'!$A$5:$K$2119,"CCDDD",'2022-23 Worksheet A'!$B$6,"Program","24","Activity","26","Object","5"),0)</f>
        <v>0</v>
      </c>
      <c r="T55" s="209">
        <v>0</v>
      </c>
      <c r="U55" s="195">
        <f t="shared" si="37"/>
        <v>0</v>
      </c>
      <c r="V55" s="196">
        <f t="shared" si="7"/>
        <v>0</v>
      </c>
      <c r="W55" s="189"/>
      <c r="Y55" s="281"/>
      <c r="Z55" s="194">
        <v>5</v>
      </c>
      <c r="AA55" s="195">
        <f>IFERROR(GETPIVOTDATA("Amount",'22-23 F195 ExpendPivot'!$A$5:$K$2119,"CCDDD",'2022-23 Worksheet A'!$B$6,"Program","26","Activity","26","Object","5"),0)</f>
        <v>0</v>
      </c>
      <c r="AB55" s="209">
        <v>0</v>
      </c>
      <c r="AC55" s="195">
        <f t="shared" si="38"/>
        <v>0</v>
      </c>
      <c r="AD55" s="196">
        <f t="shared" si="8"/>
        <v>0</v>
      </c>
      <c r="AE55" s="189"/>
      <c r="AG55" s="281"/>
      <c r="AH55" s="194">
        <v>5</v>
      </c>
      <c r="AI55" s="195">
        <f>IFERROR(GETPIVOTDATA("Amount",'22-23 F195 ExpendPivot'!$A$5:$K$2119,"CCDDD",'2022-23 Worksheet A'!$B$6,"Program","29","Activity","26","Object","5"),0)</f>
        <v>0</v>
      </c>
      <c r="AJ55" s="209">
        <v>0</v>
      </c>
      <c r="AK55" s="195">
        <f t="shared" si="39"/>
        <v>0</v>
      </c>
      <c r="AL55" s="196">
        <f t="shared" si="9"/>
        <v>0</v>
      </c>
      <c r="AM55" s="189"/>
    </row>
    <row r="56" spans="1:39">
      <c r="A56" s="281"/>
      <c r="B56" s="194">
        <v>7</v>
      </c>
      <c r="C56" s="195">
        <f>IFERROR(GETPIVOTDATA("Amount",'22-23 F195 ExpendPivot'!$A$5:$K$2119,"CCDDD",'2022-23 Worksheet A'!$B$6,"Program","21","Activity","26","Object","7"),0)</f>
        <v>0</v>
      </c>
      <c r="D56" s="209">
        <v>0</v>
      </c>
      <c r="E56" s="195">
        <f t="shared" si="35"/>
        <v>0</v>
      </c>
      <c r="F56" s="196">
        <f t="shared" si="5"/>
        <v>0</v>
      </c>
      <c r="G56" s="189"/>
      <c r="I56" s="281"/>
      <c r="J56" s="194">
        <v>7</v>
      </c>
      <c r="K56" s="195">
        <f>IFERROR(GETPIVOTDATA("Amount",'22-23 F195 ExpendPivot'!$A$5:$K$2119,"CCDDD",'2022-23 Worksheet A'!$B$6,"Program","23","Activity","26","Object","7"),0)</f>
        <v>0</v>
      </c>
      <c r="L56" s="209">
        <v>0</v>
      </c>
      <c r="M56" s="195">
        <f t="shared" si="36"/>
        <v>0</v>
      </c>
      <c r="N56" s="196">
        <f t="shared" si="34"/>
        <v>0</v>
      </c>
      <c r="O56" s="189"/>
      <c r="Q56" s="281"/>
      <c r="R56" s="194">
        <v>7</v>
      </c>
      <c r="S56" s="195">
        <f>IFERROR(GETPIVOTDATA("Amount",'22-23 F195 ExpendPivot'!$A$5:$K$2119,"CCDDD",'2022-23 Worksheet A'!$B$6,"Program","24","Activity","26","Object","7"),0)</f>
        <v>0</v>
      </c>
      <c r="T56" s="209">
        <v>0</v>
      </c>
      <c r="U56" s="195">
        <f t="shared" si="37"/>
        <v>0</v>
      </c>
      <c r="V56" s="196">
        <f t="shared" si="7"/>
        <v>0</v>
      </c>
      <c r="W56" s="189"/>
      <c r="Y56" s="281"/>
      <c r="Z56" s="194">
        <v>7</v>
      </c>
      <c r="AA56" s="195">
        <f>IFERROR(GETPIVOTDATA("Amount",'22-23 F195 ExpendPivot'!$A$5:$K$2119,"CCDDD",'2022-23 Worksheet A'!$B$6,"Program","26","Activity","26","Object","7"),0)</f>
        <v>0</v>
      </c>
      <c r="AB56" s="209">
        <v>0</v>
      </c>
      <c r="AC56" s="195">
        <f t="shared" si="38"/>
        <v>0</v>
      </c>
      <c r="AD56" s="196">
        <f t="shared" si="8"/>
        <v>0</v>
      </c>
      <c r="AE56" s="189"/>
      <c r="AG56" s="281"/>
      <c r="AH56" s="194">
        <v>7</v>
      </c>
      <c r="AI56" s="195">
        <f>IFERROR(GETPIVOTDATA("Amount",'22-23 F195 ExpendPivot'!$A$5:$K$2119,"CCDDD",'2022-23 Worksheet A'!$B$6,"Program","29","Activity","26","Object","7"),0)</f>
        <v>0</v>
      </c>
      <c r="AJ56" s="209">
        <v>0</v>
      </c>
      <c r="AK56" s="195">
        <f t="shared" si="39"/>
        <v>0</v>
      </c>
      <c r="AL56" s="196">
        <f t="shared" si="9"/>
        <v>0</v>
      </c>
      <c r="AM56" s="189"/>
    </row>
    <row r="57" spans="1:39">
      <c r="A57" s="281"/>
      <c r="B57" s="194">
        <v>8</v>
      </c>
      <c r="C57" s="195">
        <f>IFERROR(GETPIVOTDATA("Amount",'22-23 F195 ExpendPivot'!$A$5:$K$2119,"CCDDD",'2022-23 Worksheet A'!$B$6,"Program","21","Activity","26","Object","8"),0)</f>
        <v>0</v>
      </c>
      <c r="D57" s="209">
        <v>0</v>
      </c>
      <c r="E57" s="195">
        <f t="shared" si="35"/>
        <v>0</v>
      </c>
      <c r="F57" s="196">
        <f t="shared" si="5"/>
        <v>0</v>
      </c>
      <c r="G57" s="189"/>
      <c r="I57" s="281"/>
      <c r="J57" s="194">
        <v>8</v>
      </c>
      <c r="K57" s="195">
        <f>IFERROR(GETPIVOTDATA("Amount",'22-23 F195 ExpendPivot'!$A$5:$K$2119,"CCDDD",'2022-23 Worksheet A'!$B$6,"Program","23","Activity","26","Object","8"),0)</f>
        <v>0</v>
      </c>
      <c r="L57" s="209">
        <v>0</v>
      </c>
      <c r="M57" s="195">
        <f t="shared" si="36"/>
        <v>0</v>
      </c>
      <c r="N57" s="196">
        <f t="shared" si="34"/>
        <v>0</v>
      </c>
      <c r="O57" s="189"/>
      <c r="Q57" s="281"/>
      <c r="R57" s="194">
        <v>8</v>
      </c>
      <c r="S57" s="195">
        <f>IFERROR(GETPIVOTDATA("Amount",'22-23 F195 ExpendPivot'!$A$5:$K$2119,"CCDDD",'2022-23 Worksheet A'!$B$6,"Program","24","Activity","26","Object","8"),0)</f>
        <v>0</v>
      </c>
      <c r="T57" s="209">
        <v>0</v>
      </c>
      <c r="U57" s="195">
        <f t="shared" si="37"/>
        <v>0</v>
      </c>
      <c r="V57" s="196">
        <f t="shared" si="7"/>
        <v>0</v>
      </c>
      <c r="W57" s="189"/>
      <c r="Y57" s="281"/>
      <c r="Z57" s="194">
        <v>8</v>
      </c>
      <c r="AA57" s="195">
        <f>IFERROR(GETPIVOTDATA("Amount",'22-23 F195 ExpendPivot'!$A$5:$K$2119,"CCDDD",'2022-23 Worksheet A'!$B$6,"Program","26","Activity","26","Object","8"),0)</f>
        <v>0</v>
      </c>
      <c r="AB57" s="209">
        <v>0</v>
      </c>
      <c r="AC57" s="195">
        <f t="shared" si="38"/>
        <v>0</v>
      </c>
      <c r="AD57" s="196">
        <f t="shared" si="8"/>
        <v>0</v>
      </c>
      <c r="AE57" s="189"/>
      <c r="AG57" s="281"/>
      <c r="AH57" s="194">
        <v>8</v>
      </c>
      <c r="AI57" s="195">
        <f>IFERROR(GETPIVOTDATA("Amount",'22-23 F195 ExpendPivot'!$A$5:$K$2119,"CCDDD",'2022-23 Worksheet A'!$B$6,"Program","29","Activity","26","Object","8"),0)</f>
        <v>0</v>
      </c>
      <c r="AJ57" s="209">
        <v>0</v>
      </c>
      <c r="AK57" s="195">
        <f t="shared" si="39"/>
        <v>0</v>
      </c>
      <c r="AL57" s="196">
        <f t="shared" si="9"/>
        <v>0</v>
      </c>
      <c r="AM57" s="189"/>
    </row>
    <row r="58" spans="1:39">
      <c r="A58" s="281"/>
      <c r="B58" s="194">
        <v>9</v>
      </c>
      <c r="C58" s="195">
        <f>IFERROR(GETPIVOTDATA("Amount",'22-23 F195 ExpendPivot'!$A$5:$K$2119,"CCDDD",'2022-23 Worksheet A'!$B$6,"Program","21","Activity","26","Object","9"),0)</f>
        <v>0</v>
      </c>
      <c r="D58" s="209">
        <v>0</v>
      </c>
      <c r="E58" s="195">
        <f t="shared" si="35"/>
        <v>0</v>
      </c>
      <c r="F58" s="196">
        <f t="shared" si="5"/>
        <v>0</v>
      </c>
      <c r="G58" s="189"/>
      <c r="I58" s="281"/>
      <c r="J58" s="194">
        <v>9</v>
      </c>
      <c r="K58" s="195">
        <f>IFERROR(GETPIVOTDATA("Amount",'22-23 F195 ExpendPivot'!$A$5:$K$2119,"CCDDD",'2022-23 Worksheet A'!$B$6,"Program","23","Activity","26","Object","9"),0)</f>
        <v>0</v>
      </c>
      <c r="L58" s="209">
        <v>0</v>
      </c>
      <c r="M58" s="195">
        <f t="shared" si="36"/>
        <v>0</v>
      </c>
      <c r="N58" s="196">
        <f t="shared" si="34"/>
        <v>0</v>
      </c>
      <c r="O58" s="189"/>
      <c r="Q58" s="281"/>
      <c r="R58" s="194">
        <v>9</v>
      </c>
      <c r="S58" s="195">
        <f>IFERROR(GETPIVOTDATA("Amount",'22-23 F195 ExpendPivot'!$A$5:$K$2119,"CCDDD",'2022-23 Worksheet A'!$B$6,"Program","24","Activity","26","Object","9"),0)</f>
        <v>0</v>
      </c>
      <c r="T58" s="209">
        <v>0</v>
      </c>
      <c r="U58" s="195">
        <f t="shared" si="37"/>
        <v>0</v>
      </c>
      <c r="V58" s="196">
        <f t="shared" si="7"/>
        <v>0</v>
      </c>
      <c r="W58" s="189"/>
      <c r="Y58" s="281"/>
      <c r="Z58" s="194">
        <v>9</v>
      </c>
      <c r="AA58" s="195">
        <f>IFERROR(GETPIVOTDATA("Amount",'22-23 F195 ExpendPivot'!$A$5:$K$2119,"CCDDD",'2022-23 Worksheet A'!$B$6,"Program","26","Activity","26","Object","9"),0)</f>
        <v>0</v>
      </c>
      <c r="AB58" s="209">
        <v>0</v>
      </c>
      <c r="AC58" s="195">
        <f t="shared" si="38"/>
        <v>0</v>
      </c>
      <c r="AD58" s="196">
        <f t="shared" si="8"/>
        <v>0</v>
      </c>
      <c r="AE58" s="189"/>
      <c r="AG58" s="281"/>
      <c r="AH58" s="194">
        <v>9</v>
      </c>
      <c r="AI58" s="195">
        <f>IFERROR(GETPIVOTDATA("Amount",'22-23 F195 ExpendPivot'!$A$5:$K$2119,"CCDDD",'2022-23 Worksheet A'!$B$6,"Program","29","Activity","26","Object","9"),0)</f>
        <v>0</v>
      </c>
      <c r="AJ58" s="209">
        <v>0</v>
      </c>
      <c r="AK58" s="195">
        <f t="shared" si="39"/>
        <v>0</v>
      </c>
      <c r="AL58" s="196">
        <f t="shared" si="9"/>
        <v>0</v>
      </c>
      <c r="AM58" s="189"/>
    </row>
    <row r="59" spans="1:39">
      <c r="A59" s="282"/>
      <c r="B59" s="210"/>
      <c r="C59" s="211">
        <f>SUM(C51:C58)</f>
        <v>0</v>
      </c>
      <c r="D59" s="211">
        <f>SUM(D51:D58)</f>
        <v>0</v>
      </c>
      <c r="E59" s="211">
        <f>SUM(E51:E58)</f>
        <v>0</v>
      </c>
      <c r="F59" s="212"/>
      <c r="G59" s="213"/>
      <c r="I59" s="282"/>
      <c r="J59" s="210"/>
      <c r="K59" s="211">
        <f>SUM(K51:K58)</f>
        <v>0</v>
      </c>
      <c r="L59" s="211">
        <f>SUM(L51:L58)</f>
        <v>0</v>
      </c>
      <c r="M59" s="211">
        <f>SUM(M51:M58)</f>
        <v>0</v>
      </c>
      <c r="N59" s="212"/>
      <c r="O59" s="213"/>
      <c r="Q59" s="282"/>
      <c r="R59" s="210"/>
      <c r="S59" s="211">
        <f>SUM(S51:S58)</f>
        <v>0</v>
      </c>
      <c r="T59" s="211">
        <f>SUM(T51:T58)</f>
        <v>0</v>
      </c>
      <c r="U59" s="211">
        <f>SUM(U51:U58)</f>
        <v>0</v>
      </c>
      <c r="V59" s="212"/>
      <c r="W59" s="213"/>
      <c r="Y59" s="282"/>
      <c r="Z59" s="210"/>
      <c r="AA59" s="211">
        <f>SUM(AA51:AA58)</f>
        <v>0</v>
      </c>
      <c r="AB59" s="211">
        <f>SUM(AB51:AB58)</f>
        <v>0</v>
      </c>
      <c r="AC59" s="211">
        <f>SUM(AC51:AC58)</f>
        <v>0</v>
      </c>
      <c r="AD59" s="212"/>
      <c r="AE59" s="213"/>
      <c r="AG59" s="282"/>
      <c r="AH59" s="210"/>
      <c r="AI59" s="211">
        <f>SUM(AI51:AI58)</f>
        <v>0</v>
      </c>
      <c r="AJ59" s="211">
        <f>SUM(AJ51:AJ58)</f>
        <v>0</v>
      </c>
      <c r="AK59" s="211">
        <f>SUM(AK51:AK58)</f>
        <v>0</v>
      </c>
      <c r="AL59" s="212"/>
      <c r="AM59" s="213"/>
    </row>
    <row r="60" spans="1:39">
      <c r="A60" s="280">
        <v>27</v>
      </c>
      <c r="B60" s="190">
        <v>0</v>
      </c>
      <c r="C60" s="191">
        <f>IFERROR(GETPIVOTDATA("Amount",'22-23 F195 ExpendPivot'!$A$5:$K$2119,"CCDDD",'2022-23 Worksheet A'!$B$6,"Program","21","Activity","27","Object","0"),0)</f>
        <v>0</v>
      </c>
      <c r="D60" s="208">
        <v>0</v>
      </c>
      <c r="E60" s="191">
        <f t="shared" ref="E60:E67" si="40">D60/$D$3*12</f>
        <v>0</v>
      </c>
      <c r="F60" s="196">
        <f t="shared" si="5"/>
        <v>0</v>
      </c>
      <c r="G60" s="193"/>
      <c r="I60" s="280">
        <v>27</v>
      </c>
      <c r="J60" s="190">
        <v>0</v>
      </c>
      <c r="K60" s="191">
        <f>IFERROR(GETPIVOTDATA("Amount",'22-23 F195 ExpendPivot'!$A$5:$K$2119,"CCDDD",'2022-23 Worksheet A'!$B$6,"Program","23","Activity","27","Object","0"),0)</f>
        <v>0</v>
      </c>
      <c r="L60" s="208">
        <v>0</v>
      </c>
      <c r="M60" s="191">
        <f t="shared" ref="M60:M67" si="41">L60/$D$3*12</f>
        <v>0</v>
      </c>
      <c r="N60" s="192">
        <f t="shared" ref="N60:N67" si="42">IFERROR((M60-K60)/K60,0)</f>
        <v>0</v>
      </c>
      <c r="O60" s="193"/>
      <c r="Q60" s="280">
        <v>27</v>
      </c>
      <c r="R60" s="190">
        <v>0</v>
      </c>
      <c r="S60" s="191">
        <f>IFERROR(GETPIVOTDATA("Amount",'22-23 F195 ExpendPivot'!$A$5:$K$2119,"CCDDD",'2022-23 Worksheet A'!$B$6,"Program","24","Activity","27","Object","0"),0)</f>
        <v>0</v>
      </c>
      <c r="T60" s="208">
        <v>0</v>
      </c>
      <c r="U60" s="191">
        <f t="shared" ref="U60:U67" si="43">T60/$D$3*12</f>
        <v>0</v>
      </c>
      <c r="V60" s="192">
        <f t="shared" si="7"/>
        <v>0</v>
      </c>
      <c r="W60" s="193"/>
      <c r="Y60" s="280">
        <v>27</v>
      </c>
      <c r="Z60" s="190">
        <v>0</v>
      </c>
      <c r="AA60" s="191">
        <f>IFERROR(GETPIVOTDATA("Amount",'22-23 F195 ExpendPivot'!$A$5:$K$2119,"CCDDD",'2022-23 Worksheet A'!$B$6,"Program","26","Activity","27","Object","0"),0)</f>
        <v>0</v>
      </c>
      <c r="AB60" s="208">
        <v>0</v>
      </c>
      <c r="AC60" s="191">
        <f t="shared" ref="AC60:AC67" si="44">AB60/$D$3*12</f>
        <v>0</v>
      </c>
      <c r="AD60" s="192">
        <f t="shared" si="8"/>
        <v>0</v>
      </c>
      <c r="AE60" s="193"/>
      <c r="AG60" s="280">
        <v>27</v>
      </c>
      <c r="AH60" s="190">
        <v>0</v>
      </c>
      <c r="AI60" s="191">
        <f>IFERROR(GETPIVOTDATA("Amount",'22-23 F195 ExpendPivot'!$A$5:$K$2119,"CCDDD",'2022-23 Worksheet A'!$B$6,"Program","29","Activity","27","Object","0"),0)</f>
        <v>0</v>
      </c>
      <c r="AJ60" s="208">
        <v>0</v>
      </c>
      <c r="AK60" s="191">
        <f t="shared" ref="AK60:AK67" si="45">AJ60/$D$3*12</f>
        <v>0</v>
      </c>
      <c r="AL60" s="192">
        <f t="shared" si="9"/>
        <v>0</v>
      </c>
      <c r="AM60" s="193"/>
    </row>
    <row r="61" spans="1:39">
      <c r="A61" s="281"/>
      <c r="B61" s="194">
        <v>2</v>
      </c>
      <c r="C61" s="195">
        <f>IFERROR(GETPIVOTDATA("Amount",'22-23 F195 ExpendPivot'!$A$5:$K$2119,"CCDDD",'2022-23 Worksheet A'!$B$6,"Program","21","Activity","27","Object","2"),0)</f>
        <v>0</v>
      </c>
      <c r="D61" s="209">
        <v>0</v>
      </c>
      <c r="E61" s="195">
        <f t="shared" si="40"/>
        <v>0</v>
      </c>
      <c r="F61" s="196">
        <f t="shared" si="5"/>
        <v>0</v>
      </c>
      <c r="G61" s="189"/>
      <c r="I61" s="281"/>
      <c r="J61" s="194">
        <v>2</v>
      </c>
      <c r="K61" s="195">
        <f>IFERROR(GETPIVOTDATA("Amount",'22-23 F195 ExpendPivot'!$A$5:$K$2119,"CCDDD",'2022-23 Worksheet A'!$B$6,"Program","23","Activity","27","Object","2"),0)</f>
        <v>0</v>
      </c>
      <c r="L61" s="209">
        <v>0</v>
      </c>
      <c r="M61" s="195">
        <f t="shared" si="41"/>
        <v>0</v>
      </c>
      <c r="N61" s="196">
        <f t="shared" si="42"/>
        <v>0</v>
      </c>
      <c r="O61" s="189"/>
      <c r="Q61" s="281"/>
      <c r="R61" s="194">
        <v>2</v>
      </c>
      <c r="S61" s="195">
        <f>IFERROR(GETPIVOTDATA("Amount",'22-23 F195 ExpendPivot'!$A$5:$K$2119,"CCDDD",'2022-23 Worksheet A'!$B$6,"Program","24","Activity","27","Object","2"),0)</f>
        <v>0</v>
      </c>
      <c r="T61" s="209">
        <v>0</v>
      </c>
      <c r="U61" s="195">
        <f t="shared" si="43"/>
        <v>0</v>
      </c>
      <c r="V61" s="196">
        <f t="shared" si="7"/>
        <v>0</v>
      </c>
      <c r="W61" s="189"/>
      <c r="Y61" s="281"/>
      <c r="Z61" s="194">
        <v>2</v>
      </c>
      <c r="AA61" s="195">
        <f>IFERROR(GETPIVOTDATA("Amount",'22-23 F195 ExpendPivot'!$A$5:$K$2119,"CCDDD",'2022-23 Worksheet A'!$B$6,"Program","26","Activity","27","Object","2"),0)</f>
        <v>0</v>
      </c>
      <c r="AB61" s="209">
        <v>0</v>
      </c>
      <c r="AC61" s="195">
        <f t="shared" si="44"/>
        <v>0</v>
      </c>
      <c r="AD61" s="196">
        <f t="shared" si="8"/>
        <v>0</v>
      </c>
      <c r="AE61" s="189"/>
      <c r="AG61" s="281"/>
      <c r="AH61" s="194">
        <v>2</v>
      </c>
      <c r="AI61" s="195">
        <f>IFERROR(GETPIVOTDATA("Amount",'22-23 F195 ExpendPivot'!$A$5:$K$2119,"CCDDD",'2022-23 Worksheet A'!$B$6,"Program","29","Activity","27","Object","2"),0)</f>
        <v>0</v>
      </c>
      <c r="AJ61" s="209">
        <v>0</v>
      </c>
      <c r="AK61" s="195">
        <f t="shared" si="45"/>
        <v>0</v>
      </c>
      <c r="AL61" s="196">
        <f t="shared" si="9"/>
        <v>0</v>
      </c>
      <c r="AM61" s="189"/>
    </row>
    <row r="62" spans="1:39">
      <c r="A62" s="281"/>
      <c r="B62" s="194">
        <v>3</v>
      </c>
      <c r="C62" s="195">
        <f>IFERROR(GETPIVOTDATA("Amount",'22-23 F195 ExpendPivot'!$A$5:$K$2119,"CCDDD",'2022-23 Worksheet A'!$B$6,"Program","21","Activity","27","Object","3"),0)</f>
        <v>0</v>
      </c>
      <c r="D62" s="209">
        <v>0</v>
      </c>
      <c r="E62" s="195">
        <f t="shared" si="40"/>
        <v>0</v>
      </c>
      <c r="F62" s="196">
        <f t="shared" si="5"/>
        <v>0</v>
      </c>
      <c r="G62" s="189"/>
      <c r="I62" s="281"/>
      <c r="J62" s="194">
        <v>3</v>
      </c>
      <c r="K62" s="195">
        <f>IFERROR(GETPIVOTDATA("Amount",'22-23 F195 ExpendPivot'!$A$5:$K$2119,"CCDDD",'2022-23 Worksheet A'!$B$6,"Program","23","Activity","27","Object","3"),0)</f>
        <v>0</v>
      </c>
      <c r="L62" s="209">
        <v>0</v>
      </c>
      <c r="M62" s="195">
        <f t="shared" si="41"/>
        <v>0</v>
      </c>
      <c r="N62" s="196">
        <f t="shared" si="42"/>
        <v>0</v>
      </c>
      <c r="O62" s="189"/>
      <c r="Q62" s="281"/>
      <c r="R62" s="194">
        <v>3</v>
      </c>
      <c r="S62" s="195">
        <f>IFERROR(GETPIVOTDATA("Amount",'22-23 F195 ExpendPivot'!$A$5:$K$2119,"CCDDD",'2022-23 Worksheet A'!$B$6,"Program","24","Activity","27","Object","3"),0)</f>
        <v>0</v>
      </c>
      <c r="T62" s="209">
        <v>0</v>
      </c>
      <c r="U62" s="195">
        <f t="shared" si="43"/>
        <v>0</v>
      </c>
      <c r="V62" s="196">
        <f t="shared" si="7"/>
        <v>0</v>
      </c>
      <c r="W62" s="189"/>
      <c r="Y62" s="281"/>
      <c r="Z62" s="194">
        <v>3</v>
      </c>
      <c r="AA62" s="195">
        <f>IFERROR(GETPIVOTDATA("Amount",'22-23 F195 ExpendPivot'!$A$5:$K$2119,"CCDDD",'2022-23 Worksheet A'!$B$6,"Program","26","Activity","27","Object","3"),0)</f>
        <v>0</v>
      </c>
      <c r="AB62" s="209">
        <v>0</v>
      </c>
      <c r="AC62" s="195">
        <f t="shared" si="44"/>
        <v>0</v>
      </c>
      <c r="AD62" s="196">
        <f t="shared" si="8"/>
        <v>0</v>
      </c>
      <c r="AE62" s="189"/>
      <c r="AG62" s="281"/>
      <c r="AH62" s="194">
        <v>3</v>
      </c>
      <c r="AI62" s="195">
        <f>IFERROR(GETPIVOTDATA("Amount",'22-23 F195 ExpendPivot'!$A$5:$K$2119,"CCDDD",'2022-23 Worksheet A'!$B$6,"Program","29","Activity","27","Object","3"),0)</f>
        <v>0</v>
      </c>
      <c r="AJ62" s="209">
        <v>0</v>
      </c>
      <c r="AK62" s="195">
        <f t="shared" si="45"/>
        <v>0</v>
      </c>
      <c r="AL62" s="196">
        <f t="shared" si="9"/>
        <v>0</v>
      </c>
      <c r="AM62" s="189"/>
    </row>
    <row r="63" spans="1:39">
      <c r="A63" s="281"/>
      <c r="B63" s="194">
        <v>4</v>
      </c>
      <c r="C63" s="195">
        <f>IFERROR(GETPIVOTDATA("Amount",'22-23 F195 ExpendPivot'!$A$5:$K$2119,"CCDDD",'2022-23 Worksheet A'!$B$6,"Program","21","Activity","27","Object","4"),0)</f>
        <v>0</v>
      </c>
      <c r="D63" s="209">
        <v>0</v>
      </c>
      <c r="E63" s="195">
        <f t="shared" si="40"/>
        <v>0</v>
      </c>
      <c r="F63" s="196">
        <f t="shared" si="5"/>
        <v>0</v>
      </c>
      <c r="G63" s="189"/>
      <c r="I63" s="281"/>
      <c r="J63" s="194">
        <v>4</v>
      </c>
      <c r="K63" s="195">
        <f>IFERROR(GETPIVOTDATA("Amount",'22-23 F195 ExpendPivot'!$A$5:$K$2119,"CCDDD",'2022-23 Worksheet A'!$B$6,"Program","23","Activity","27","Object","4"),0)</f>
        <v>0</v>
      </c>
      <c r="L63" s="209">
        <v>0</v>
      </c>
      <c r="M63" s="195">
        <f t="shared" si="41"/>
        <v>0</v>
      </c>
      <c r="N63" s="196">
        <f t="shared" si="42"/>
        <v>0</v>
      </c>
      <c r="O63" s="189"/>
      <c r="Q63" s="281"/>
      <c r="R63" s="194">
        <v>4</v>
      </c>
      <c r="S63" s="195">
        <f>IFERROR(GETPIVOTDATA("Amount",'22-23 F195 ExpendPivot'!$A$5:$K$2119,"CCDDD",'2022-23 Worksheet A'!$B$6,"Program","24","Activity","27","Object","4"),0)</f>
        <v>0</v>
      </c>
      <c r="T63" s="209">
        <v>0</v>
      </c>
      <c r="U63" s="195">
        <f t="shared" si="43"/>
        <v>0</v>
      </c>
      <c r="V63" s="196">
        <f t="shared" si="7"/>
        <v>0</v>
      </c>
      <c r="W63" s="189"/>
      <c r="Y63" s="281"/>
      <c r="Z63" s="194">
        <v>4</v>
      </c>
      <c r="AA63" s="195">
        <f>IFERROR(GETPIVOTDATA("Amount",'22-23 F195 ExpendPivot'!$A$5:$K$2119,"CCDDD",'2022-23 Worksheet A'!$B$6,"Program","26","Activity","27","Object","4"),0)</f>
        <v>0</v>
      </c>
      <c r="AB63" s="209">
        <v>0</v>
      </c>
      <c r="AC63" s="195">
        <f t="shared" si="44"/>
        <v>0</v>
      </c>
      <c r="AD63" s="196">
        <f t="shared" si="8"/>
        <v>0</v>
      </c>
      <c r="AE63" s="189"/>
      <c r="AG63" s="281"/>
      <c r="AH63" s="194">
        <v>4</v>
      </c>
      <c r="AI63" s="195">
        <f>IFERROR(GETPIVOTDATA("Amount",'22-23 F195 ExpendPivot'!$A$5:$K$2119,"CCDDD",'2022-23 Worksheet A'!$B$6,"Program","29","Activity","27","Object","4"),0)</f>
        <v>0</v>
      </c>
      <c r="AJ63" s="209">
        <v>0</v>
      </c>
      <c r="AK63" s="195">
        <f t="shared" si="45"/>
        <v>0</v>
      </c>
      <c r="AL63" s="196">
        <f t="shared" si="9"/>
        <v>0</v>
      </c>
      <c r="AM63" s="189"/>
    </row>
    <row r="64" spans="1:39">
      <c r="A64" s="281"/>
      <c r="B64" s="194">
        <v>5</v>
      </c>
      <c r="C64" s="195">
        <f>IFERROR(GETPIVOTDATA("Amount",'22-23 F195 ExpendPivot'!$A$5:$K$2119,"CCDDD",'2022-23 Worksheet A'!$B$6,"Program","21","Activity","27","Object","5"),0)</f>
        <v>0</v>
      </c>
      <c r="D64" s="209">
        <v>0</v>
      </c>
      <c r="E64" s="195">
        <f t="shared" si="40"/>
        <v>0</v>
      </c>
      <c r="F64" s="196">
        <f t="shared" si="5"/>
        <v>0</v>
      </c>
      <c r="G64" s="189"/>
      <c r="I64" s="281"/>
      <c r="J64" s="194">
        <v>5</v>
      </c>
      <c r="K64" s="195">
        <f>IFERROR(GETPIVOTDATA("Amount",'22-23 F195 ExpendPivot'!$A$5:$K$2119,"CCDDD",'2022-23 Worksheet A'!$B$6,"Program","23","Activity","27","Object","5"),0)</f>
        <v>0</v>
      </c>
      <c r="L64" s="209">
        <v>0</v>
      </c>
      <c r="M64" s="195">
        <f t="shared" si="41"/>
        <v>0</v>
      </c>
      <c r="N64" s="196">
        <f t="shared" si="42"/>
        <v>0</v>
      </c>
      <c r="O64" s="189"/>
      <c r="Q64" s="281"/>
      <c r="R64" s="194">
        <v>5</v>
      </c>
      <c r="S64" s="195">
        <f>IFERROR(GETPIVOTDATA("Amount",'22-23 F195 ExpendPivot'!$A$5:$K$2119,"CCDDD",'2022-23 Worksheet A'!$B$6,"Program","24","Activity","27","Object","5"),0)</f>
        <v>0</v>
      </c>
      <c r="T64" s="209">
        <v>0</v>
      </c>
      <c r="U64" s="195">
        <f t="shared" si="43"/>
        <v>0</v>
      </c>
      <c r="V64" s="196">
        <f t="shared" si="7"/>
        <v>0</v>
      </c>
      <c r="W64" s="189"/>
      <c r="Y64" s="281"/>
      <c r="Z64" s="194">
        <v>5</v>
      </c>
      <c r="AA64" s="195">
        <f>IFERROR(GETPIVOTDATA("Amount",'22-23 F195 ExpendPivot'!$A$5:$K$2119,"CCDDD",'2022-23 Worksheet A'!$B$6,"Program","26","Activity","27","Object","5"),0)</f>
        <v>0</v>
      </c>
      <c r="AB64" s="209">
        <v>0</v>
      </c>
      <c r="AC64" s="195">
        <f t="shared" si="44"/>
        <v>0</v>
      </c>
      <c r="AD64" s="196">
        <f t="shared" si="8"/>
        <v>0</v>
      </c>
      <c r="AE64" s="189"/>
      <c r="AG64" s="281"/>
      <c r="AH64" s="194">
        <v>5</v>
      </c>
      <c r="AI64" s="195">
        <f>IFERROR(GETPIVOTDATA("Amount",'22-23 F195 ExpendPivot'!$A$5:$K$2119,"CCDDD",'2022-23 Worksheet A'!$B$6,"Program","29","Activity","27","Object","5"),0)</f>
        <v>0</v>
      </c>
      <c r="AJ64" s="209">
        <v>0</v>
      </c>
      <c r="AK64" s="195">
        <f t="shared" si="45"/>
        <v>0</v>
      </c>
      <c r="AL64" s="196">
        <f t="shared" si="9"/>
        <v>0</v>
      </c>
      <c r="AM64" s="189"/>
    </row>
    <row r="65" spans="1:39">
      <c r="A65" s="281"/>
      <c r="B65" s="194">
        <v>7</v>
      </c>
      <c r="C65" s="195">
        <f>IFERROR(GETPIVOTDATA("Amount",'22-23 F195 ExpendPivot'!$A$5:$K$2119,"CCDDD",'2022-23 Worksheet A'!$B$6,"Program","21","Activity","27","Object","7"),0)</f>
        <v>0</v>
      </c>
      <c r="D65" s="209">
        <v>0</v>
      </c>
      <c r="E65" s="195">
        <f t="shared" si="40"/>
        <v>0</v>
      </c>
      <c r="F65" s="196">
        <f t="shared" si="5"/>
        <v>0</v>
      </c>
      <c r="G65" s="189"/>
      <c r="I65" s="281"/>
      <c r="J65" s="194">
        <v>7</v>
      </c>
      <c r="K65" s="195">
        <f>IFERROR(GETPIVOTDATA("Amount",'22-23 F195 ExpendPivot'!$A$5:$K$2119,"CCDDD",'2022-23 Worksheet A'!$B$6,"Program","23","Activity","27","Object","7"),0)</f>
        <v>0</v>
      </c>
      <c r="L65" s="209">
        <v>0</v>
      </c>
      <c r="M65" s="195">
        <f t="shared" si="41"/>
        <v>0</v>
      </c>
      <c r="N65" s="196">
        <f t="shared" si="42"/>
        <v>0</v>
      </c>
      <c r="O65" s="189"/>
      <c r="Q65" s="281"/>
      <c r="R65" s="194">
        <v>7</v>
      </c>
      <c r="S65" s="195">
        <f>IFERROR(GETPIVOTDATA("Amount",'22-23 F195 ExpendPivot'!$A$5:$K$2119,"CCDDD",'2022-23 Worksheet A'!$B$6,"Program","24","Activity","27","Object","7"),0)</f>
        <v>0</v>
      </c>
      <c r="T65" s="209">
        <v>0</v>
      </c>
      <c r="U65" s="195">
        <f t="shared" si="43"/>
        <v>0</v>
      </c>
      <c r="V65" s="196">
        <f t="shared" si="7"/>
        <v>0</v>
      </c>
      <c r="W65" s="189"/>
      <c r="Y65" s="281"/>
      <c r="Z65" s="194">
        <v>7</v>
      </c>
      <c r="AA65" s="195">
        <f>IFERROR(GETPIVOTDATA("Amount",'22-23 F195 ExpendPivot'!$A$5:$K$2119,"CCDDD",'2022-23 Worksheet A'!$B$6,"Program","26","Activity","27","Object","7"),0)</f>
        <v>0</v>
      </c>
      <c r="AB65" s="209">
        <v>0</v>
      </c>
      <c r="AC65" s="195">
        <f t="shared" si="44"/>
        <v>0</v>
      </c>
      <c r="AD65" s="196">
        <f t="shared" si="8"/>
        <v>0</v>
      </c>
      <c r="AE65" s="189"/>
      <c r="AG65" s="281"/>
      <c r="AH65" s="194">
        <v>7</v>
      </c>
      <c r="AI65" s="195">
        <f>IFERROR(GETPIVOTDATA("Amount",'22-23 F195 ExpendPivot'!$A$5:$K$2119,"CCDDD",'2022-23 Worksheet A'!$B$6,"Program","29","Activity","27","Object","7"),0)</f>
        <v>0</v>
      </c>
      <c r="AJ65" s="209">
        <v>0</v>
      </c>
      <c r="AK65" s="195">
        <f t="shared" si="45"/>
        <v>0</v>
      </c>
      <c r="AL65" s="196">
        <f t="shared" si="9"/>
        <v>0</v>
      </c>
      <c r="AM65" s="189"/>
    </row>
    <row r="66" spans="1:39">
      <c r="A66" s="281"/>
      <c r="B66" s="194">
        <v>8</v>
      </c>
      <c r="C66" s="195">
        <f>IFERROR(GETPIVOTDATA("Amount",'22-23 F195 ExpendPivot'!$A$5:$K$2119,"CCDDD",'2022-23 Worksheet A'!$B$6,"Program","21","Activity","27","Object","8"),0)</f>
        <v>0</v>
      </c>
      <c r="D66" s="209">
        <v>0</v>
      </c>
      <c r="E66" s="195">
        <f t="shared" si="40"/>
        <v>0</v>
      </c>
      <c r="F66" s="196">
        <f t="shared" si="5"/>
        <v>0</v>
      </c>
      <c r="G66" s="189"/>
      <c r="I66" s="281"/>
      <c r="J66" s="194">
        <v>8</v>
      </c>
      <c r="K66" s="195">
        <f>IFERROR(GETPIVOTDATA("Amount",'22-23 F195 ExpendPivot'!$A$5:$K$2119,"CCDDD",'2022-23 Worksheet A'!$B$6,"Program","23","Activity","27","Object","8"),0)</f>
        <v>0</v>
      </c>
      <c r="L66" s="209">
        <v>0</v>
      </c>
      <c r="M66" s="195">
        <f t="shared" si="41"/>
        <v>0</v>
      </c>
      <c r="N66" s="196">
        <f t="shared" si="42"/>
        <v>0</v>
      </c>
      <c r="O66" s="189"/>
      <c r="Q66" s="281"/>
      <c r="R66" s="194">
        <v>8</v>
      </c>
      <c r="S66" s="195">
        <f>IFERROR(GETPIVOTDATA("Amount",'22-23 F195 ExpendPivot'!$A$5:$K$2119,"CCDDD",'2022-23 Worksheet A'!$B$6,"Program","24","Activity","27","Object","8"),0)</f>
        <v>0</v>
      </c>
      <c r="T66" s="209">
        <v>0</v>
      </c>
      <c r="U66" s="195">
        <f t="shared" si="43"/>
        <v>0</v>
      </c>
      <c r="V66" s="196">
        <f t="shared" si="7"/>
        <v>0</v>
      </c>
      <c r="W66" s="189"/>
      <c r="Y66" s="281"/>
      <c r="Z66" s="194">
        <v>8</v>
      </c>
      <c r="AA66" s="195">
        <f>IFERROR(GETPIVOTDATA("Amount",'22-23 F195 ExpendPivot'!$A$5:$K$2119,"CCDDD",'2022-23 Worksheet A'!$B$6,"Program","26","Activity","27","Object","8"),0)</f>
        <v>0</v>
      </c>
      <c r="AB66" s="209">
        <v>0</v>
      </c>
      <c r="AC66" s="195">
        <f t="shared" si="44"/>
        <v>0</v>
      </c>
      <c r="AD66" s="196">
        <f t="shared" si="8"/>
        <v>0</v>
      </c>
      <c r="AE66" s="189"/>
      <c r="AG66" s="281"/>
      <c r="AH66" s="194">
        <v>8</v>
      </c>
      <c r="AI66" s="195">
        <f>IFERROR(GETPIVOTDATA("Amount",'22-23 F195 ExpendPivot'!$A$5:$K$2119,"CCDDD",'2022-23 Worksheet A'!$B$6,"Program","29","Activity","27","Object","8"),0)</f>
        <v>0</v>
      </c>
      <c r="AJ66" s="209">
        <v>0</v>
      </c>
      <c r="AK66" s="195">
        <f t="shared" si="45"/>
        <v>0</v>
      </c>
      <c r="AL66" s="196">
        <f t="shared" si="9"/>
        <v>0</v>
      </c>
      <c r="AM66" s="189"/>
    </row>
    <row r="67" spans="1:39">
      <c r="A67" s="281"/>
      <c r="B67" s="194">
        <v>9</v>
      </c>
      <c r="C67" s="195">
        <f>IFERROR(GETPIVOTDATA("Amount",'22-23 F195 ExpendPivot'!$A$5:$K$2119,"CCDDD",'2022-23 Worksheet A'!$B$6,"Program","21","Activity","27","Object","9"),0)</f>
        <v>0</v>
      </c>
      <c r="D67" s="209">
        <v>0</v>
      </c>
      <c r="E67" s="195">
        <f t="shared" si="40"/>
        <v>0</v>
      </c>
      <c r="F67" s="196">
        <f t="shared" si="5"/>
        <v>0</v>
      </c>
      <c r="G67" s="189"/>
      <c r="I67" s="281"/>
      <c r="J67" s="194">
        <v>9</v>
      </c>
      <c r="K67" s="195">
        <f>IFERROR(GETPIVOTDATA("Amount",'22-23 F195 ExpendPivot'!$A$5:$K$2119,"CCDDD",'2022-23 Worksheet A'!$B$6,"Program","23","Activity","27","Object","9"),0)</f>
        <v>0</v>
      </c>
      <c r="L67" s="209">
        <v>0</v>
      </c>
      <c r="M67" s="195">
        <f t="shared" si="41"/>
        <v>0</v>
      </c>
      <c r="N67" s="196">
        <f t="shared" si="42"/>
        <v>0</v>
      </c>
      <c r="O67" s="189"/>
      <c r="Q67" s="281"/>
      <c r="R67" s="194">
        <v>9</v>
      </c>
      <c r="S67" s="195">
        <f>IFERROR(GETPIVOTDATA("Amount",'22-23 F195 ExpendPivot'!$A$5:$K$2119,"CCDDD",'2022-23 Worksheet A'!$B$6,"Program","24","Activity","27","Object","9"),0)</f>
        <v>0</v>
      </c>
      <c r="T67" s="209">
        <v>0</v>
      </c>
      <c r="U67" s="195">
        <f t="shared" si="43"/>
        <v>0</v>
      </c>
      <c r="V67" s="196">
        <f t="shared" si="7"/>
        <v>0</v>
      </c>
      <c r="W67" s="189"/>
      <c r="Y67" s="281"/>
      <c r="Z67" s="194">
        <v>9</v>
      </c>
      <c r="AA67" s="195">
        <f>IFERROR(GETPIVOTDATA("Amount",'22-23 F195 ExpendPivot'!$A$5:$K$2119,"CCDDD",'2022-23 Worksheet A'!$B$6,"Program","26","Activity","27","Object","9"),0)</f>
        <v>0</v>
      </c>
      <c r="AB67" s="209">
        <v>0</v>
      </c>
      <c r="AC67" s="195">
        <f t="shared" si="44"/>
        <v>0</v>
      </c>
      <c r="AD67" s="196">
        <f t="shared" si="8"/>
        <v>0</v>
      </c>
      <c r="AE67" s="189"/>
      <c r="AG67" s="281"/>
      <c r="AH67" s="194">
        <v>9</v>
      </c>
      <c r="AI67" s="195">
        <f>IFERROR(GETPIVOTDATA("Amount",'22-23 F195 ExpendPivot'!$A$5:$K$2119,"CCDDD",'2022-23 Worksheet A'!$B$6,"Program","29","Activity","27","Object","9"),0)</f>
        <v>0</v>
      </c>
      <c r="AJ67" s="209">
        <v>0</v>
      </c>
      <c r="AK67" s="195">
        <f t="shared" si="45"/>
        <v>0</v>
      </c>
      <c r="AL67" s="196">
        <f t="shared" si="9"/>
        <v>0</v>
      </c>
      <c r="AM67" s="189"/>
    </row>
    <row r="68" spans="1:39">
      <c r="A68" s="282"/>
      <c r="B68" s="210"/>
      <c r="C68" s="211">
        <f>SUM(C60:C67)</f>
        <v>0</v>
      </c>
      <c r="D68" s="211">
        <f>SUM(D60:D67)</f>
        <v>0</v>
      </c>
      <c r="E68" s="211">
        <f>SUM(E60:E67)</f>
        <v>0</v>
      </c>
      <c r="F68" s="212"/>
      <c r="G68" s="213"/>
      <c r="I68" s="282"/>
      <c r="J68" s="210"/>
      <c r="K68" s="211">
        <f>SUM(K60:K67)</f>
        <v>0</v>
      </c>
      <c r="L68" s="211">
        <f>SUM(L60:L67)</f>
        <v>0</v>
      </c>
      <c r="M68" s="211">
        <f>SUM(M60:M67)</f>
        <v>0</v>
      </c>
      <c r="N68" s="212"/>
      <c r="O68" s="213"/>
      <c r="Q68" s="282"/>
      <c r="R68" s="210"/>
      <c r="S68" s="211">
        <f>SUM(S60:S67)</f>
        <v>0</v>
      </c>
      <c r="T68" s="211">
        <f>SUM(T60:T67)</f>
        <v>0</v>
      </c>
      <c r="U68" s="211">
        <f>SUM(U60:U67)</f>
        <v>0</v>
      </c>
      <c r="V68" s="212"/>
      <c r="W68" s="213"/>
      <c r="Y68" s="282"/>
      <c r="Z68" s="210"/>
      <c r="AA68" s="211">
        <f>SUM(AA60:AA67)</f>
        <v>0</v>
      </c>
      <c r="AB68" s="211">
        <f>SUM(AB60:AB67)</f>
        <v>0</v>
      </c>
      <c r="AC68" s="211">
        <f>SUM(AC60:AC67)</f>
        <v>0</v>
      </c>
      <c r="AD68" s="212"/>
      <c r="AE68" s="213"/>
      <c r="AG68" s="282"/>
      <c r="AH68" s="210"/>
      <c r="AI68" s="211">
        <f>SUM(AI60:AI67)</f>
        <v>0</v>
      </c>
      <c r="AJ68" s="211">
        <f>SUM(AJ60:AJ67)</f>
        <v>0</v>
      </c>
      <c r="AK68" s="211">
        <f>SUM(AK60:AK67)</f>
        <v>0</v>
      </c>
      <c r="AL68" s="212"/>
      <c r="AM68" s="213"/>
    </row>
    <row r="69" spans="1:39">
      <c r="A69" s="280">
        <v>28</v>
      </c>
      <c r="B69" s="190">
        <v>0</v>
      </c>
      <c r="C69" s="191">
        <f>IFERROR(GETPIVOTDATA("Amount",'22-23 F195 ExpendPivot'!$A$5:$K$2119,"CCDDD",'2022-23 Worksheet A'!$B$6,"Program","21","Activity","28","Object","0"),0)</f>
        <v>0</v>
      </c>
      <c r="D69" s="208">
        <v>0</v>
      </c>
      <c r="E69" s="191">
        <f t="shared" ref="E69:E76" si="46">D69/$D$3*12</f>
        <v>0</v>
      </c>
      <c r="F69" s="196">
        <f t="shared" si="5"/>
        <v>0</v>
      </c>
      <c r="G69" s="193"/>
      <c r="I69" s="280">
        <v>28</v>
      </c>
      <c r="J69" s="190">
        <v>0</v>
      </c>
      <c r="K69" s="191">
        <f>IFERROR(GETPIVOTDATA("Amount",'22-23 F195 ExpendPivot'!$A$5:$K$2119,"CCDDD",'2022-23 Worksheet A'!$B$6,"Program","23","Activity","28","Object","0"),0)</f>
        <v>0</v>
      </c>
      <c r="L69" s="208">
        <v>0</v>
      </c>
      <c r="M69" s="191">
        <f t="shared" ref="M69:M76" si="47">L69/$D$3*12</f>
        <v>0</v>
      </c>
      <c r="N69" s="192">
        <f t="shared" ref="N69:N76" si="48">IFERROR((M69-K69)/K69,0)</f>
        <v>0</v>
      </c>
      <c r="O69" s="193"/>
      <c r="Q69" s="280">
        <v>28</v>
      </c>
      <c r="R69" s="190">
        <v>0</v>
      </c>
      <c r="S69" s="191">
        <f>IFERROR(GETPIVOTDATA("Amount",'22-23 F195 ExpendPivot'!$A$5:$K$2119,"CCDDD",'2022-23 Worksheet A'!$B$6,"Program","24","Activity","28","Object","0"),0)</f>
        <v>0</v>
      </c>
      <c r="T69" s="208">
        <v>0</v>
      </c>
      <c r="U69" s="191">
        <f t="shared" ref="U69:U76" si="49">T69/$D$3*12</f>
        <v>0</v>
      </c>
      <c r="V69" s="192">
        <f t="shared" si="7"/>
        <v>0</v>
      </c>
      <c r="W69" s="193"/>
      <c r="Y69" s="280">
        <v>28</v>
      </c>
      <c r="Z69" s="190">
        <v>0</v>
      </c>
      <c r="AA69" s="191">
        <f>IFERROR(GETPIVOTDATA("Amount",'22-23 F195 ExpendPivot'!$A$5:$K$2119,"CCDDD",'2022-23 Worksheet A'!$B$6,"Program","26","Activity","28","Object","0"),0)</f>
        <v>0</v>
      </c>
      <c r="AB69" s="208">
        <v>0</v>
      </c>
      <c r="AC69" s="191">
        <f t="shared" ref="AC69:AC76" si="50">AB69/$D$3*12</f>
        <v>0</v>
      </c>
      <c r="AD69" s="192">
        <f t="shared" si="8"/>
        <v>0</v>
      </c>
      <c r="AE69" s="193"/>
      <c r="AG69" s="280">
        <v>28</v>
      </c>
      <c r="AH69" s="190">
        <v>0</v>
      </c>
      <c r="AI69" s="191">
        <f>IFERROR(GETPIVOTDATA("Amount",'22-23 F195 ExpendPivot'!$A$5:$K$2119,"CCDDD",'2022-23 Worksheet A'!$B$6,"Program","29","Activity","28","Object","0"),0)</f>
        <v>0</v>
      </c>
      <c r="AJ69" s="208">
        <v>0</v>
      </c>
      <c r="AK69" s="191">
        <f t="shared" ref="AK69:AK76" si="51">AJ69/$D$3*12</f>
        <v>0</v>
      </c>
      <c r="AL69" s="192">
        <f t="shared" si="9"/>
        <v>0</v>
      </c>
      <c r="AM69" s="193"/>
    </row>
    <row r="70" spans="1:39">
      <c r="A70" s="281"/>
      <c r="B70" s="194">
        <v>2</v>
      </c>
      <c r="C70" s="195">
        <f>IFERROR(GETPIVOTDATA("Amount",'22-23 F195 ExpendPivot'!$A$5:$K$2119,"CCDDD",'2022-23 Worksheet A'!$B$6,"Program","21","Activity","28","Object","2"),0)</f>
        <v>0</v>
      </c>
      <c r="D70" s="209">
        <v>0</v>
      </c>
      <c r="E70" s="195">
        <f t="shared" si="46"/>
        <v>0</v>
      </c>
      <c r="F70" s="196">
        <f t="shared" si="5"/>
        <v>0</v>
      </c>
      <c r="G70" s="189"/>
      <c r="I70" s="281"/>
      <c r="J70" s="194">
        <v>2</v>
      </c>
      <c r="K70" s="195">
        <f>IFERROR(GETPIVOTDATA("Amount",'22-23 F195 ExpendPivot'!$A$5:$K$2119,"CCDDD",'2022-23 Worksheet A'!$B$6,"Program","23","Activity","28","Object","2"),0)</f>
        <v>0</v>
      </c>
      <c r="L70" s="209">
        <v>0</v>
      </c>
      <c r="M70" s="195">
        <f t="shared" si="47"/>
        <v>0</v>
      </c>
      <c r="N70" s="196">
        <f t="shared" si="48"/>
        <v>0</v>
      </c>
      <c r="O70" s="189"/>
      <c r="Q70" s="281"/>
      <c r="R70" s="194">
        <v>2</v>
      </c>
      <c r="S70" s="195">
        <f>IFERROR(GETPIVOTDATA("Amount",'22-23 F195 ExpendPivot'!$A$5:$K$2119,"CCDDD",'2022-23 Worksheet A'!$B$6,"Program","24","Activity","28","Object","2"),0)</f>
        <v>0</v>
      </c>
      <c r="T70" s="209">
        <v>0</v>
      </c>
      <c r="U70" s="195">
        <f t="shared" si="49"/>
        <v>0</v>
      </c>
      <c r="V70" s="196">
        <f t="shared" si="7"/>
        <v>0</v>
      </c>
      <c r="W70" s="189"/>
      <c r="Y70" s="281"/>
      <c r="Z70" s="194">
        <v>2</v>
      </c>
      <c r="AA70" s="195">
        <f>IFERROR(GETPIVOTDATA("Amount",'22-23 F195 ExpendPivot'!$A$5:$K$2119,"CCDDD",'2022-23 Worksheet A'!$B$6,"Program","26","Activity","28","Object","2"),0)</f>
        <v>0</v>
      </c>
      <c r="AB70" s="209">
        <v>0</v>
      </c>
      <c r="AC70" s="195">
        <f t="shared" si="50"/>
        <v>0</v>
      </c>
      <c r="AD70" s="196">
        <f t="shared" si="8"/>
        <v>0</v>
      </c>
      <c r="AE70" s="189"/>
      <c r="AG70" s="281"/>
      <c r="AH70" s="194">
        <v>2</v>
      </c>
      <c r="AI70" s="195">
        <f>IFERROR(GETPIVOTDATA("Amount",'22-23 F195 ExpendPivot'!$A$5:$K$2119,"CCDDD",'2022-23 Worksheet A'!$B$6,"Program","29","Activity","28","Object","2"),0)</f>
        <v>0</v>
      </c>
      <c r="AJ70" s="209">
        <v>0</v>
      </c>
      <c r="AK70" s="195">
        <f t="shared" si="51"/>
        <v>0</v>
      </c>
      <c r="AL70" s="196">
        <f t="shared" si="9"/>
        <v>0</v>
      </c>
      <c r="AM70" s="189"/>
    </row>
    <row r="71" spans="1:39">
      <c r="A71" s="281"/>
      <c r="B71" s="194">
        <v>3</v>
      </c>
      <c r="C71" s="195">
        <f>IFERROR(GETPIVOTDATA("Amount",'22-23 F195 ExpendPivot'!$A$5:$K$2119,"CCDDD",'2022-23 Worksheet A'!$B$6,"Program","21","Activity","28","Object","3"),0)</f>
        <v>0</v>
      </c>
      <c r="D71" s="209">
        <v>0</v>
      </c>
      <c r="E71" s="195">
        <f t="shared" si="46"/>
        <v>0</v>
      </c>
      <c r="F71" s="196">
        <f t="shared" ref="F71:F76" si="52">IFERROR((E71-C71)/C71,0)</f>
        <v>0</v>
      </c>
      <c r="G71" s="189"/>
      <c r="I71" s="281"/>
      <c r="J71" s="194">
        <v>3</v>
      </c>
      <c r="K71" s="195">
        <f>IFERROR(GETPIVOTDATA("Amount",'22-23 F195 ExpendPivot'!$A$5:$K$2119,"CCDDD",'2022-23 Worksheet A'!$B$6,"Program","23","Activity","28","Object","3"),0)</f>
        <v>0</v>
      </c>
      <c r="L71" s="209">
        <v>0</v>
      </c>
      <c r="M71" s="195">
        <f t="shared" si="47"/>
        <v>0</v>
      </c>
      <c r="N71" s="196">
        <f t="shared" si="48"/>
        <v>0</v>
      </c>
      <c r="O71" s="189"/>
      <c r="Q71" s="281"/>
      <c r="R71" s="194">
        <v>3</v>
      </c>
      <c r="S71" s="195">
        <f>IFERROR(GETPIVOTDATA("Amount",'22-23 F195 ExpendPivot'!$A$5:$K$2119,"CCDDD",'2022-23 Worksheet A'!$B$6,"Program","24","Activity","28","Object","3"),0)</f>
        <v>0</v>
      </c>
      <c r="T71" s="209">
        <v>0</v>
      </c>
      <c r="U71" s="195">
        <f t="shared" si="49"/>
        <v>0</v>
      </c>
      <c r="V71" s="196">
        <f t="shared" ref="V71:V76" si="53">IFERROR((U71-S71)/S71,0)</f>
        <v>0</v>
      </c>
      <c r="W71" s="189"/>
      <c r="Y71" s="281"/>
      <c r="Z71" s="194">
        <v>3</v>
      </c>
      <c r="AA71" s="195">
        <f>IFERROR(GETPIVOTDATA("Amount",'22-23 F195 ExpendPivot'!$A$5:$K$2119,"CCDDD",'2022-23 Worksheet A'!$B$6,"Program","26","Activity","28","Object","3"),0)</f>
        <v>0</v>
      </c>
      <c r="AB71" s="209">
        <v>0</v>
      </c>
      <c r="AC71" s="195">
        <f t="shared" si="50"/>
        <v>0</v>
      </c>
      <c r="AD71" s="196">
        <f t="shared" ref="AD71:AD76" si="54">IFERROR((AC71-AA71)/AA71,0)</f>
        <v>0</v>
      </c>
      <c r="AE71" s="189"/>
      <c r="AG71" s="281"/>
      <c r="AH71" s="194">
        <v>3</v>
      </c>
      <c r="AI71" s="195">
        <f>IFERROR(GETPIVOTDATA("Amount",'22-23 F195 ExpendPivot'!$A$5:$K$2119,"CCDDD",'2022-23 Worksheet A'!$B$6,"Program","29","Activity","28","Object","3"),0)</f>
        <v>0</v>
      </c>
      <c r="AJ71" s="209">
        <v>0</v>
      </c>
      <c r="AK71" s="195">
        <f t="shared" si="51"/>
        <v>0</v>
      </c>
      <c r="AL71" s="196">
        <f t="shared" ref="AL71:AL76" si="55">IFERROR((AK71-AI71)/AI71,0)</f>
        <v>0</v>
      </c>
      <c r="AM71" s="189"/>
    </row>
    <row r="72" spans="1:39">
      <c r="A72" s="281"/>
      <c r="B72" s="194">
        <v>4</v>
      </c>
      <c r="C72" s="195">
        <f>IFERROR(GETPIVOTDATA("Amount",'22-23 F195 ExpendPivot'!$A$5:$K$2119,"CCDDD",'2022-23 Worksheet A'!$B$6,"Program","21","Activity","28","Object","4"),0)</f>
        <v>0</v>
      </c>
      <c r="D72" s="209">
        <v>0</v>
      </c>
      <c r="E72" s="195">
        <f t="shared" si="46"/>
        <v>0</v>
      </c>
      <c r="F72" s="196">
        <f t="shared" si="52"/>
        <v>0</v>
      </c>
      <c r="G72" s="189"/>
      <c r="I72" s="281"/>
      <c r="J72" s="194">
        <v>4</v>
      </c>
      <c r="K72" s="195">
        <f>IFERROR(GETPIVOTDATA("Amount",'22-23 F195 ExpendPivot'!$A$5:$K$2119,"CCDDD",'2022-23 Worksheet A'!$B$6,"Program","23","Activity","28","Object","4"),0)</f>
        <v>0</v>
      </c>
      <c r="L72" s="209">
        <v>0</v>
      </c>
      <c r="M72" s="195">
        <f t="shared" si="47"/>
        <v>0</v>
      </c>
      <c r="N72" s="196">
        <f t="shared" si="48"/>
        <v>0</v>
      </c>
      <c r="O72" s="189"/>
      <c r="Q72" s="281"/>
      <c r="R72" s="194">
        <v>4</v>
      </c>
      <c r="S72" s="195">
        <f>IFERROR(GETPIVOTDATA("Amount",'22-23 F195 ExpendPivot'!$A$5:$K$2119,"CCDDD",'2022-23 Worksheet A'!$B$6,"Program","24","Activity","28","Object","4"),0)</f>
        <v>0</v>
      </c>
      <c r="T72" s="209">
        <v>0</v>
      </c>
      <c r="U72" s="195">
        <f t="shared" si="49"/>
        <v>0</v>
      </c>
      <c r="V72" s="196">
        <f t="shared" si="53"/>
        <v>0</v>
      </c>
      <c r="W72" s="189"/>
      <c r="Y72" s="281"/>
      <c r="Z72" s="194">
        <v>4</v>
      </c>
      <c r="AA72" s="195">
        <f>IFERROR(GETPIVOTDATA("Amount",'22-23 F195 ExpendPivot'!$A$5:$K$2119,"CCDDD",'2022-23 Worksheet A'!$B$6,"Program","26","Activity","28","Object","4"),0)</f>
        <v>0</v>
      </c>
      <c r="AB72" s="209">
        <v>0</v>
      </c>
      <c r="AC72" s="195">
        <f t="shared" si="50"/>
        <v>0</v>
      </c>
      <c r="AD72" s="196">
        <f t="shared" si="54"/>
        <v>0</v>
      </c>
      <c r="AE72" s="189"/>
      <c r="AG72" s="281"/>
      <c r="AH72" s="194">
        <v>4</v>
      </c>
      <c r="AI72" s="195">
        <f>IFERROR(GETPIVOTDATA("Amount",'22-23 F195 ExpendPivot'!$A$5:$K$2119,"CCDDD",'2022-23 Worksheet A'!$B$6,"Program","29","Activity","28","Object","4"),0)</f>
        <v>0</v>
      </c>
      <c r="AJ72" s="209">
        <v>0</v>
      </c>
      <c r="AK72" s="195">
        <f t="shared" si="51"/>
        <v>0</v>
      </c>
      <c r="AL72" s="196">
        <f t="shared" si="55"/>
        <v>0</v>
      </c>
      <c r="AM72" s="189"/>
    </row>
    <row r="73" spans="1:39">
      <c r="A73" s="281"/>
      <c r="B73" s="194">
        <v>5</v>
      </c>
      <c r="C73" s="195">
        <f>IFERROR(GETPIVOTDATA("Amount",'22-23 F195 ExpendPivot'!$A$5:$K$2119,"CCDDD",'2022-23 Worksheet A'!$B$6,"Program","21","Activity","28","Object","5"),0)</f>
        <v>0</v>
      </c>
      <c r="D73" s="209">
        <v>0</v>
      </c>
      <c r="E73" s="195">
        <f t="shared" si="46"/>
        <v>0</v>
      </c>
      <c r="F73" s="196">
        <f t="shared" si="52"/>
        <v>0</v>
      </c>
      <c r="G73" s="189"/>
      <c r="I73" s="281"/>
      <c r="J73" s="194">
        <v>5</v>
      </c>
      <c r="K73" s="195">
        <f>IFERROR(GETPIVOTDATA("Amount",'22-23 F195 ExpendPivot'!$A$5:$K$2119,"CCDDD",'2022-23 Worksheet A'!$B$6,"Program","23","Activity","28","Object","5"),0)</f>
        <v>0</v>
      </c>
      <c r="L73" s="209">
        <v>0</v>
      </c>
      <c r="M73" s="195">
        <f t="shared" si="47"/>
        <v>0</v>
      </c>
      <c r="N73" s="196">
        <f t="shared" si="48"/>
        <v>0</v>
      </c>
      <c r="O73" s="189"/>
      <c r="Q73" s="281"/>
      <c r="R73" s="194">
        <v>5</v>
      </c>
      <c r="S73" s="195">
        <f>IFERROR(GETPIVOTDATA("Amount",'22-23 F195 ExpendPivot'!$A$5:$K$2119,"CCDDD",'2022-23 Worksheet A'!$B$6,"Program","24","Activity","28","Object","5"),0)</f>
        <v>0</v>
      </c>
      <c r="T73" s="209">
        <v>0</v>
      </c>
      <c r="U73" s="195">
        <f t="shared" si="49"/>
        <v>0</v>
      </c>
      <c r="V73" s="196">
        <f t="shared" si="53"/>
        <v>0</v>
      </c>
      <c r="W73" s="189"/>
      <c r="Y73" s="281"/>
      <c r="Z73" s="194">
        <v>5</v>
      </c>
      <c r="AA73" s="195">
        <f>IFERROR(GETPIVOTDATA("Amount",'22-23 F195 ExpendPivot'!$A$5:$K$2119,"CCDDD",'2022-23 Worksheet A'!$B$6,"Program","26","Activity","28","Object","5"),0)</f>
        <v>0</v>
      </c>
      <c r="AB73" s="209">
        <v>0</v>
      </c>
      <c r="AC73" s="195">
        <f t="shared" si="50"/>
        <v>0</v>
      </c>
      <c r="AD73" s="196">
        <f t="shared" si="54"/>
        <v>0</v>
      </c>
      <c r="AE73" s="189"/>
      <c r="AG73" s="281"/>
      <c r="AH73" s="194">
        <v>5</v>
      </c>
      <c r="AI73" s="195">
        <f>IFERROR(GETPIVOTDATA("Amount",'22-23 F195 ExpendPivot'!$A$5:$K$2119,"CCDDD",'2022-23 Worksheet A'!$B$6,"Program","29","Activity","28","Object","5"),0)</f>
        <v>0</v>
      </c>
      <c r="AJ73" s="209">
        <v>0</v>
      </c>
      <c r="AK73" s="195">
        <f t="shared" si="51"/>
        <v>0</v>
      </c>
      <c r="AL73" s="196">
        <f t="shared" si="55"/>
        <v>0</v>
      </c>
      <c r="AM73" s="189"/>
    </row>
    <row r="74" spans="1:39">
      <c r="A74" s="281"/>
      <c r="B74" s="194">
        <v>7</v>
      </c>
      <c r="C74" s="195">
        <f>IFERROR(GETPIVOTDATA("Amount",'22-23 F195 ExpendPivot'!$A$5:$K$2119,"CCDDD",'2022-23 Worksheet A'!$B$6,"Program","21","Activity","28","Object","7"),0)</f>
        <v>0</v>
      </c>
      <c r="D74" s="209">
        <v>0</v>
      </c>
      <c r="E74" s="195">
        <f t="shared" si="46"/>
        <v>0</v>
      </c>
      <c r="F74" s="196">
        <f t="shared" si="52"/>
        <v>0</v>
      </c>
      <c r="G74" s="189"/>
      <c r="I74" s="281"/>
      <c r="J74" s="194">
        <v>7</v>
      </c>
      <c r="K74" s="195">
        <f>IFERROR(GETPIVOTDATA("Amount",'22-23 F195 ExpendPivot'!$A$5:$K$2119,"CCDDD",'2022-23 Worksheet A'!$B$6,"Program","23","Activity","28","Object","7"),0)</f>
        <v>0</v>
      </c>
      <c r="L74" s="209">
        <v>0</v>
      </c>
      <c r="M74" s="195">
        <f t="shared" si="47"/>
        <v>0</v>
      </c>
      <c r="N74" s="196">
        <f t="shared" si="48"/>
        <v>0</v>
      </c>
      <c r="O74" s="189"/>
      <c r="Q74" s="281"/>
      <c r="R74" s="194">
        <v>7</v>
      </c>
      <c r="S74" s="195">
        <f>IFERROR(GETPIVOTDATA("Amount",'22-23 F195 ExpendPivot'!$A$5:$K$2119,"CCDDD",'2022-23 Worksheet A'!$B$6,"Program","24","Activity","28","Object","7"),0)</f>
        <v>0</v>
      </c>
      <c r="T74" s="209">
        <v>0</v>
      </c>
      <c r="U74" s="195">
        <f t="shared" si="49"/>
        <v>0</v>
      </c>
      <c r="V74" s="196">
        <f t="shared" si="53"/>
        <v>0</v>
      </c>
      <c r="W74" s="189"/>
      <c r="Y74" s="281"/>
      <c r="Z74" s="194">
        <v>7</v>
      </c>
      <c r="AA74" s="195">
        <f>IFERROR(GETPIVOTDATA("Amount",'22-23 F195 ExpendPivot'!$A$5:$K$2119,"CCDDD",'2022-23 Worksheet A'!$B$6,"Program","26","Activity","28","Object","7"),0)</f>
        <v>0</v>
      </c>
      <c r="AB74" s="209">
        <v>0</v>
      </c>
      <c r="AC74" s="195">
        <f t="shared" si="50"/>
        <v>0</v>
      </c>
      <c r="AD74" s="196">
        <f t="shared" si="54"/>
        <v>0</v>
      </c>
      <c r="AE74" s="189"/>
      <c r="AG74" s="281"/>
      <c r="AH74" s="194">
        <v>7</v>
      </c>
      <c r="AI74" s="195">
        <f>IFERROR(GETPIVOTDATA("Amount",'22-23 F195 ExpendPivot'!$A$5:$K$2119,"CCDDD",'2022-23 Worksheet A'!$B$6,"Program","29","Activity","28","Object","7"),0)</f>
        <v>0</v>
      </c>
      <c r="AJ74" s="209">
        <v>0</v>
      </c>
      <c r="AK74" s="195">
        <f t="shared" si="51"/>
        <v>0</v>
      </c>
      <c r="AL74" s="196">
        <f t="shared" si="55"/>
        <v>0</v>
      </c>
      <c r="AM74" s="189"/>
    </row>
    <row r="75" spans="1:39">
      <c r="A75" s="281"/>
      <c r="B75" s="194">
        <v>8</v>
      </c>
      <c r="C75" s="195">
        <f>IFERROR(GETPIVOTDATA("Amount",'22-23 F195 ExpendPivot'!$A$5:$K$2119,"CCDDD",'2022-23 Worksheet A'!$B$6,"Program","21","Activity","28","Object","8"),0)</f>
        <v>0</v>
      </c>
      <c r="D75" s="209">
        <v>0</v>
      </c>
      <c r="E75" s="195">
        <f t="shared" si="46"/>
        <v>0</v>
      </c>
      <c r="F75" s="196">
        <f t="shared" si="52"/>
        <v>0</v>
      </c>
      <c r="G75" s="189"/>
      <c r="I75" s="281"/>
      <c r="J75" s="194">
        <v>8</v>
      </c>
      <c r="K75" s="195">
        <f>IFERROR(GETPIVOTDATA("Amount",'22-23 F195 ExpendPivot'!$A$5:$K$2119,"CCDDD",'2022-23 Worksheet A'!$B$6,"Program","23","Activity","28","Object","8"),0)</f>
        <v>0</v>
      </c>
      <c r="L75" s="209">
        <v>0</v>
      </c>
      <c r="M75" s="195">
        <f t="shared" si="47"/>
        <v>0</v>
      </c>
      <c r="N75" s="196">
        <f t="shared" si="48"/>
        <v>0</v>
      </c>
      <c r="O75" s="189"/>
      <c r="Q75" s="281"/>
      <c r="R75" s="194">
        <v>8</v>
      </c>
      <c r="S75" s="195">
        <f>IFERROR(GETPIVOTDATA("Amount",'22-23 F195 ExpendPivot'!$A$5:$K$2119,"CCDDD",'2022-23 Worksheet A'!$B$6,"Program","24","Activity","28","Object","8"),0)</f>
        <v>0</v>
      </c>
      <c r="T75" s="209">
        <v>0</v>
      </c>
      <c r="U75" s="195">
        <f t="shared" si="49"/>
        <v>0</v>
      </c>
      <c r="V75" s="196">
        <f t="shared" si="53"/>
        <v>0</v>
      </c>
      <c r="W75" s="189"/>
      <c r="Y75" s="281"/>
      <c r="Z75" s="194">
        <v>8</v>
      </c>
      <c r="AA75" s="195">
        <f>IFERROR(GETPIVOTDATA("Amount",'22-23 F195 ExpendPivot'!$A$5:$K$2119,"CCDDD",'2022-23 Worksheet A'!$B$6,"Program","26","Activity","28","Object","8"),0)</f>
        <v>0</v>
      </c>
      <c r="AB75" s="209">
        <v>0</v>
      </c>
      <c r="AC75" s="195">
        <f t="shared" si="50"/>
        <v>0</v>
      </c>
      <c r="AD75" s="196">
        <f t="shared" si="54"/>
        <v>0</v>
      </c>
      <c r="AE75" s="189"/>
      <c r="AG75" s="281"/>
      <c r="AH75" s="194">
        <v>8</v>
      </c>
      <c r="AI75" s="195">
        <f>IFERROR(GETPIVOTDATA("Amount",'22-23 F195 ExpendPivot'!$A$5:$K$2119,"CCDDD",'2022-23 Worksheet A'!$B$6,"Program","29","Activity","28","Object","8"),0)</f>
        <v>0</v>
      </c>
      <c r="AJ75" s="209">
        <v>0</v>
      </c>
      <c r="AK75" s="195">
        <f t="shared" si="51"/>
        <v>0</v>
      </c>
      <c r="AL75" s="196">
        <f t="shared" si="55"/>
        <v>0</v>
      </c>
      <c r="AM75" s="189"/>
    </row>
    <row r="76" spans="1:39">
      <c r="A76" s="281"/>
      <c r="B76" s="194">
        <v>9</v>
      </c>
      <c r="C76" s="195">
        <f>IFERROR(GETPIVOTDATA("Amount",'22-23 F195 ExpendPivot'!$A$5:$K$2119,"CCDDD",'2022-23 Worksheet A'!$B$6,"Program","21","Activity","28","Object","9"),0)</f>
        <v>0</v>
      </c>
      <c r="D76" s="209">
        <v>0</v>
      </c>
      <c r="E76" s="195">
        <f t="shared" si="46"/>
        <v>0</v>
      </c>
      <c r="F76" s="196">
        <f t="shared" si="52"/>
        <v>0</v>
      </c>
      <c r="G76" s="189"/>
      <c r="I76" s="281"/>
      <c r="J76" s="194">
        <v>9</v>
      </c>
      <c r="K76" s="195">
        <f>IFERROR(GETPIVOTDATA("Amount",'22-23 F195 ExpendPivot'!$A$5:$K$2119,"CCDDD",'2022-23 Worksheet A'!$B$6,"Program","23","Activity","28","Object","9"),0)</f>
        <v>0</v>
      </c>
      <c r="L76" s="209">
        <v>0</v>
      </c>
      <c r="M76" s="195">
        <f t="shared" si="47"/>
        <v>0</v>
      </c>
      <c r="N76" s="196">
        <f t="shared" si="48"/>
        <v>0</v>
      </c>
      <c r="O76" s="189"/>
      <c r="Q76" s="281"/>
      <c r="R76" s="194">
        <v>9</v>
      </c>
      <c r="S76" s="195">
        <f>IFERROR(GETPIVOTDATA("Amount",'22-23 F195 ExpendPivot'!$A$5:$K$2119,"CCDDD",'2022-23 Worksheet A'!$B$6,"Program","24","Activity","28","Object","9"),0)</f>
        <v>0</v>
      </c>
      <c r="T76" s="209">
        <v>0</v>
      </c>
      <c r="U76" s="195">
        <f t="shared" si="49"/>
        <v>0</v>
      </c>
      <c r="V76" s="196">
        <f t="shared" si="53"/>
        <v>0</v>
      </c>
      <c r="W76" s="189"/>
      <c r="Y76" s="281"/>
      <c r="Z76" s="194">
        <v>9</v>
      </c>
      <c r="AA76" s="195">
        <f>IFERROR(GETPIVOTDATA("Amount",'22-23 F195 ExpendPivot'!$A$5:$K$2119,"CCDDD",'2022-23 Worksheet A'!$B$6,"Program","26","Activity","28","Object","9"),0)</f>
        <v>0</v>
      </c>
      <c r="AB76" s="209">
        <v>0</v>
      </c>
      <c r="AC76" s="195">
        <f t="shared" si="50"/>
        <v>0</v>
      </c>
      <c r="AD76" s="196">
        <f t="shared" si="54"/>
        <v>0</v>
      </c>
      <c r="AE76" s="189"/>
      <c r="AG76" s="281"/>
      <c r="AH76" s="194">
        <v>9</v>
      </c>
      <c r="AI76" s="195">
        <f>IFERROR(GETPIVOTDATA("Amount",'22-23 F195 ExpendPivot'!$A$5:$K$2119,"CCDDD",'2022-23 Worksheet A'!$B$6,"Program","29","Activity","28","Object","9"),0)</f>
        <v>0</v>
      </c>
      <c r="AJ76" s="209">
        <v>0</v>
      </c>
      <c r="AK76" s="195">
        <f t="shared" si="51"/>
        <v>0</v>
      </c>
      <c r="AL76" s="196">
        <f t="shared" si="55"/>
        <v>0</v>
      </c>
      <c r="AM76" s="189"/>
    </row>
    <row r="77" spans="1:39">
      <c r="A77" s="282"/>
      <c r="B77" s="210"/>
      <c r="C77" s="211">
        <f>SUM(C69:C76)</f>
        <v>0</v>
      </c>
      <c r="D77" s="211">
        <f>SUM(D69:D76)</f>
        <v>0</v>
      </c>
      <c r="E77" s="211">
        <f>SUM(E69:E76)</f>
        <v>0</v>
      </c>
      <c r="F77" s="212"/>
      <c r="G77" s="213"/>
      <c r="I77" s="282"/>
      <c r="J77" s="210"/>
      <c r="K77" s="211">
        <f>SUM(K69:K76)</f>
        <v>0</v>
      </c>
      <c r="L77" s="211">
        <f>SUM(L69:L76)</f>
        <v>0</v>
      </c>
      <c r="M77" s="211">
        <f>SUM(M69:M76)</f>
        <v>0</v>
      </c>
      <c r="N77" s="212"/>
      <c r="O77" s="213"/>
      <c r="Q77" s="282"/>
      <c r="R77" s="210"/>
      <c r="S77" s="211">
        <f>SUM(S69:S76)</f>
        <v>0</v>
      </c>
      <c r="T77" s="211">
        <f>SUM(T69:T76)</f>
        <v>0</v>
      </c>
      <c r="U77" s="211">
        <f>SUM(U69:U76)</f>
        <v>0</v>
      </c>
      <c r="V77" s="212"/>
      <c r="W77" s="213"/>
      <c r="Y77" s="282"/>
      <c r="Z77" s="210"/>
      <c r="AA77" s="211">
        <f>SUM(AA69:AA76)</f>
        <v>0</v>
      </c>
      <c r="AB77" s="211">
        <f>SUM(AB69:AB76)</f>
        <v>0</v>
      </c>
      <c r="AC77" s="211">
        <f>SUM(AC69:AC76)</f>
        <v>0</v>
      </c>
      <c r="AD77" s="212"/>
      <c r="AE77" s="213"/>
      <c r="AG77" s="282"/>
      <c r="AH77" s="210"/>
      <c r="AI77" s="211">
        <f>SUM(AI69:AI76)</f>
        <v>0</v>
      </c>
      <c r="AJ77" s="211">
        <f>SUM(AJ69:AJ76)</f>
        <v>0</v>
      </c>
      <c r="AK77" s="211">
        <f>SUM(AK69:AK76)</f>
        <v>0</v>
      </c>
      <c r="AL77" s="212"/>
      <c r="AM77" s="213"/>
    </row>
    <row r="78" spans="1:39">
      <c r="A78" s="280">
        <v>29</v>
      </c>
      <c r="B78" s="194"/>
      <c r="C78" s="195"/>
      <c r="D78" s="197"/>
      <c r="E78" s="195"/>
      <c r="F78" s="195"/>
      <c r="G78" s="189"/>
      <c r="I78" s="280">
        <v>29</v>
      </c>
      <c r="J78" s="194"/>
      <c r="K78" s="195"/>
      <c r="L78" s="197"/>
      <c r="M78" s="195"/>
      <c r="N78" s="195"/>
      <c r="O78" s="189"/>
      <c r="Q78" s="280">
        <v>29</v>
      </c>
      <c r="R78" s="194"/>
      <c r="S78" s="195"/>
      <c r="T78" s="197"/>
      <c r="U78" s="195"/>
      <c r="V78" s="195"/>
      <c r="W78" s="189"/>
      <c r="Y78" s="280">
        <v>29</v>
      </c>
      <c r="Z78" s="194"/>
      <c r="AA78" s="195"/>
      <c r="AB78" s="197"/>
      <c r="AC78" s="195"/>
      <c r="AD78" s="195"/>
      <c r="AE78" s="189"/>
      <c r="AG78" s="280">
        <v>29</v>
      </c>
      <c r="AH78" s="194"/>
      <c r="AI78" s="195"/>
      <c r="AJ78" s="197"/>
      <c r="AK78" s="195"/>
      <c r="AL78" s="195"/>
      <c r="AM78" s="189"/>
    </row>
    <row r="79" spans="1:39">
      <c r="A79" s="281"/>
      <c r="B79" s="194">
        <v>7</v>
      </c>
      <c r="C79" s="195">
        <f>IFERROR(GETPIVOTDATA("Amount",'22-23 F195 ExpendPivot'!$A$5:$K$2119,"CCDDD",'2022-23 Worksheet A'!$B$6,"Program","21","Activity","29","Object","7"),0)</f>
        <v>0</v>
      </c>
      <c r="D79" s="209">
        <v>0</v>
      </c>
      <c r="E79" s="195">
        <f>D79/$D$3*12</f>
        <v>0</v>
      </c>
      <c r="F79" s="196">
        <f>IFERROR((E79-C79)/C79,0)</f>
        <v>0</v>
      </c>
      <c r="G79" s="189"/>
      <c r="I79" s="281"/>
      <c r="J79" s="194">
        <v>7</v>
      </c>
      <c r="K79" s="195">
        <f>IFERROR(GETPIVOTDATA("Amount",'22-23 F195 ExpendPivot'!$A$5:$K$2119,"CCDDD",'2022-23 Worksheet A'!$B$6,"Program","23","Activity","29","Object","7"),0)</f>
        <v>0</v>
      </c>
      <c r="L79" s="209">
        <v>0</v>
      </c>
      <c r="M79" s="195">
        <f>L79/$D$3*12</f>
        <v>0</v>
      </c>
      <c r="N79" s="196">
        <f>IFERROR((M79-K79)/K79,0)</f>
        <v>0</v>
      </c>
      <c r="O79" s="189"/>
      <c r="Q79" s="281"/>
      <c r="R79" s="194">
        <v>7</v>
      </c>
      <c r="S79" s="195">
        <f>IFERROR(GETPIVOTDATA("Amount",'22-23 F195 ExpendPivot'!$A$5:$K$2119,"CCDDD",'2022-23 Worksheet A'!$B$6,"Program","24","Activity","29","Object","7"),0)</f>
        <v>0</v>
      </c>
      <c r="T79" s="209">
        <v>0</v>
      </c>
      <c r="U79" s="195">
        <f>T79/$D$3*12</f>
        <v>0</v>
      </c>
      <c r="V79" s="196">
        <f>IFERROR((U79-S79)/S79,0)</f>
        <v>0</v>
      </c>
      <c r="W79" s="189"/>
      <c r="Y79" s="281"/>
      <c r="Z79" s="194">
        <v>7</v>
      </c>
      <c r="AA79" s="195">
        <f>IFERROR(GETPIVOTDATA("Amount",'22-23 F195 ExpendPivot'!$A$5:$K$2119,"CCDDD",'2022-23 Worksheet A'!$B$6,"Program","26","Activity","29","Object","7"),0)</f>
        <v>0</v>
      </c>
      <c r="AB79" s="209">
        <v>0</v>
      </c>
      <c r="AC79" s="195">
        <f>AB79/$D$3*12</f>
        <v>0</v>
      </c>
      <c r="AD79" s="196">
        <f>IFERROR((AC79-AA79)/AA79,0)</f>
        <v>0</v>
      </c>
      <c r="AE79" s="189"/>
      <c r="AG79" s="281"/>
      <c r="AH79" s="194">
        <v>7</v>
      </c>
      <c r="AI79" s="195">
        <f>IFERROR(GETPIVOTDATA("Amount",'22-23 F195 ExpendPivot'!$A$5:$K$2119,"CCDDD",'2022-23 Worksheet A'!$B$6,"Program","29","Activity","29","Object","7"),0)</f>
        <v>0</v>
      </c>
      <c r="AJ79" s="209">
        <v>0</v>
      </c>
      <c r="AK79" s="195">
        <f>AJ79/$D$3*12</f>
        <v>0</v>
      </c>
      <c r="AL79" s="196">
        <f>IFERROR((AK79-AI79)/AI79,0)</f>
        <v>0</v>
      </c>
      <c r="AM79" s="189"/>
    </row>
    <row r="80" spans="1:39">
      <c r="A80" s="281"/>
      <c r="B80" s="214"/>
      <c r="C80" s="215">
        <f>SUM(C79)</f>
        <v>0</v>
      </c>
      <c r="D80" s="215">
        <f>SUM(D79)</f>
        <v>0</v>
      </c>
      <c r="E80" s="215">
        <f>SUM(E79)</f>
        <v>0</v>
      </c>
      <c r="F80" s="216"/>
      <c r="G80" s="217"/>
      <c r="I80" s="281"/>
      <c r="J80" s="214"/>
      <c r="K80" s="215">
        <f>SUM(K79)</f>
        <v>0</v>
      </c>
      <c r="L80" s="215">
        <f>SUM(L79)</f>
        <v>0</v>
      </c>
      <c r="M80" s="215">
        <f>SUM(M79)</f>
        <v>0</v>
      </c>
      <c r="N80" s="216"/>
      <c r="O80" s="217"/>
      <c r="Q80" s="281"/>
      <c r="R80" s="214"/>
      <c r="S80" s="215">
        <f>SUM(S79)</f>
        <v>0</v>
      </c>
      <c r="T80" s="215">
        <f>SUM(T79)</f>
        <v>0</v>
      </c>
      <c r="U80" s="215">
        <f>SUM(U79)</f>
        <v>0</v>
      </c>
      <c r="V80" s="216"/>
      <c r="W80" s="217"/>
      <c r="Y80" s="281"/>
      <c r="Z80" s="214"/>
      <c r="AA80" s="215">
        <f>SUM(AA79)</f>
        <v>0</v>
      </c>
      <c r="AB80" s="215">
        <f>SUM(AB79)</f>
        <v>0</v>
      </c>
      <c r="AC80" s="215">
        <f>SUM(AC79)</f>
        <v>0</v>
      </c>
      <c r="AD80" s="216"/>
      <c r="AE80" s="217"/>
      <c r="AG80" s="281"/>
      <c r="AH80" s="214"/>
      <c r="AI80" s="215">
        <f>SUM(AI79)</f>
        <v>0</v>
      </c>
      <c r="AJ80" s="215">
        <f>SUM(AJ79)</f>
        <v>0</v>
      </c>
      <c r="AK80" s="215">
        <f>SUM(AK79)</f>
        <v>0</v>
      </c>
      <c r="AL80" s="216"/>
      <c r="AM80" s="217"/>
    </row>
    <row r="81" spans="1:39">
      <c r="A81" s="280">
        <v>31</v>
      </c>
      <c r="B81" s="190">
        <v>0</v>
      </c>
      <c r="C81" s="191">
        <f>IFERROR(GETPIVOTDATA("Amount",'22-23 F195 ExpendPivot'!$A$5:$K$2119,"CCDDD",'2022-23 Worksheet A'!$B$6,"Program","21","Activity","31","Object","0"),0)</f>
        <v>0</v>
      </c>
      <c r="D81" s="208">
        <v>0</v>
      </c>
      <c r="E81" s="191">
        <f t="shared" ref="E81:E88" si="56">D81/$D$3*12</f>
        <v>0</v>
      </c>
      <c r="F81" s="192">
        <f t="shared" ref="F81:F88" si="57">IFERROR((E81-C81)/C81,0)</f>
        <v>0</v>
      </c>
      <c r="G81" s="193"/>
      <c r="I81" s="280">
        <v>31</v>
      </c>
      <c r="J81" s="190">
        <v>0</v>
      </c>
      <c r="K81" s="191">
        <f>IFERROR(GETPIVOTDATA("Amount",'22-23 F195 ExpendPivot'!$A$5:$K$2119,"CCDDD",'2022-23 Worksheet A'!$B$6,"Program","23","Activity","31","Object","0"),0)</f>
        <v>0</v>
      </c>
      <c r="L81" s="208">
        <v>0</v>
      </c>
      <c r="M81" s="191">
        <f t="shared" ref="M81:M88" si="58">L81/$D$3*12</f>
        <v>0</v>
      </c>
      <c r="N81" s="192">
        <f t="shared" ref="N81:N88" si="59">IFERROR((M81-K81)/K81,0)</f>
        <v>0</v>
      </c>
      <c r="O81" s="193"/>
      <c r="Q81" s="280">
        <v>31</v>
      </c>
      <c r="R81" s="190">
        <v>0</v>
      </c>
      <c r="S81" s="191">
        <f>IFERROR(GETPIVOTDATA("Amount",'22-23 F195 ExpendPivot'!$A$5:$K$2119,"CCDDD",'2022-23 Worksheet A'!$B$6,"Program","24","Activity","31","Object","0"),0)</f>
        <v>0</v>
      </c>
      <c r="T81" s="208">
        <v>0</v>
      </c>
      <c r="U81" s="191">
        <f t="shared" ref="U81:U88" si="60">T81/$D$3*12</f>
        <v>0</v>
      </c>
      <c r="V81" s="192">
        <f t="shared" ref="V81:V88" si="61">IFERROR((U81-S81)/S81,0)</f>
        <v>0</v>
      </c>
      <c r="W81" s="193"/>
      <c r="Y81" s="280">
        <v>31</v>
      </c>
      <c r="Z81" s="190">
        <v>0</v>
      </c>
      <c r="AA81" s="191">
        <f>IFERROR(GETPIVOTDATA("Amount",'22-23 F195 ExpendPivot'!$A$5:$K$2119,"CCDDD",'2022-23 Worksheet A'!$B$6,"Program","26","Activity","31","Object","0"),0)</f>
        <v>0</v>
      </c>
      <c r="AB81" s="208">
        <v>0</v>
      </c>
      <c r="AC81" s="191">
        <f t="shared" ref="AC81:AC88" si="62">AB81/$D$3*12</f>
        <v>0</v>
      </c>
      <c r="AD81" s="192">
        <f t="shared" ref="AD81:AD88" si="63">IFERROR((AC81-AA81)/AA81,0)</f>
        <v>0</v>
      </c>
      <c r="AE81" s="193"/>
      <c r="AG81" s="280">
        <v>31</v>
      </c>
      <c r="AH81" s="190">
        <v>0</v>
      </c>
      <c r="AI81" s="191">
        <f>IFERROR(GETPIVOTDATA("Amount",'22-23 F195 ExpendPivot'!$A$5:$K$2119,"CCDDD",'2022-23 Worksheet A'!$B$6,"Program","29","Activity","31","Object","0"),0)</f>
        <v>0</v>
      </c>
      <c r="AJ81" s="208">
        <v>0</v>
      </c>
      <c r="AK81" s="191">
        <f t="shared" ref="AK81:AK88" si="64">AJ81/$D$3*12</f>
        <v>0</v>
      </c>
      <c r="AL81" s="192">
        <f t="shared" ref="AL81:AL88" si="65">IFERROR((AK81-AI81)/AI81,0)</f>
        <v>0</v>
      </c>
      <c r="AM81" s="193"/>
    </row>
    <row r="82" spans="1:39">
      <c r="A82" s="281"/>
      <c r="B82" s="194">
        <v>2</v>
      </c>
      <c r="C82" s="195">
        <f>IFERROR(GETPIVOTDATA("Amount",'22-23 F195 ExpendPivot'!$A$5:$K$2119,"CCDDD",'2022-23 Worksheet A'!$B$6,"Program","21","Activity","31","Object","2"),0)</f>
        <v>0</v>
      </c>
      <c r="D82" s="209">
        <v>0</v>
      </c>
      <c r="E82" s="195">
        <f t="shared" si="56"/>
        <v>0</v>
      </c>
      <c r="F82" s="196">
        <f t="shared" si="57"/>
        <v>0</v>
      </c>
      <c r="G82" s="189"/>
      <c r="I82" s="281"/>
      <c r="J82" s="194">
        <v>2</v>
      </c>
      <c r="K82" s="195">
        <f>IFERROR(GETPIVOTDATA("Amount",'22-23 F195 ExpendPivot'!$A$5:$K$2119,"CCDDD",'2022-23 Worksheet A'!$B$6,"Program","23","Activity","31","Object","2"),0)</f>
        <v>0</v>
      </c>
      <c r="L82" s="209">
        <v>0</v>
      </c>
      <c r="M82" s="195">
        <f t="shared" si="58"/>
        <v>0</v>
      </c>
      <c r="N82" s="196">
        <f t="shared" si="59"/>
        <v>0</v>
      </c>
      <c r="O82" s="189"/>
      <c r="Q82" s="281"/>
      <c r="R82" s="194">
        <v>2</v>
      </c>
      <c r="S82" s="195">
        <f>IFERROR(GETPIVOTDATA("Amount",'22-23 F195 ExpendPivot'!$A$5:$K$2119,"CCDDD",'2022-23 Worksheet A'!$B$6,"Program","24","Activity","31","Object","2"),0)</f>
        <v>0</v>
      </c>
      <c r="T82" s="209">
        <v>0</v>
      </c>
      <c r="U82" s="195">
        <f t="shared" si="60"/>
        <v>0</v>
      </c>
      <c r="V82" s="196">
        <f t="shared" si="61"/>
        <v>0</v>
      </c>
      <c r="W82" s="189"/>
      <c r="Y82" s="281"/>
      <c r="Z82" s="194">
        <v>2</v>
      </c>
      <c r="AA82" s="195">
        <f>IFERROR(GETPIVOTDATA("Amount",'22-23 F195 ExpendPivot'!$A$5:$K$2119,"CCDDD",'2022-23 Worksheet A'!$B$6,"Program","26","Activity","31","Object","2"),0)</f>
        <v>0</v>
      </c>
      <c r="AB82" s="209">
        <v>0</v>
      </c>
      <c r="AC82" s="195">
        <f t="shared" si="62"/>
        <v>0</v>
      </c>
      <c r="AD82" s="196">
        <f t="shared" si="63"/>
        <v>0</v>
      </c>
      <c r="AE82" s="189"/>
      <c r="AG82" s="281"/>
      <c r="AH82" s="194">
        <v>2</v>
      </c>
      <c r="AI82" s="195">
        <f>IFERROR(GETPIVOTDATA("Amount",'22-23 F195 ExpendPivot'!$A$5:$K$2119,"CCDDD",'2022-23 Worksheet A'!$B$6,"Program","29","Activity","31","Object","2"),0)</f>
        <v>0</v>
      </c>
      <c r="AJ82" s="209">
        <v>0</v>
      </c>
      <c r="AK82" s="195">
        <f t="shared" si="64"/>
        <v>0</v>
      </c>
      <c r="AL82" s="196">
        <f t="shared" si="65"/>
        <v>0</v>
      </c>
      <c r="AM82" s="189"/>
    </row>
    <row r="83" spans="1:39">
      <c r="A83" s="281"/>
      <c r="B83" s="194">
        <v>3</v>
      </c>
      <c r="C83" s="195">
        <f>IFERROR(GETPIVOTDATA("Amount",'22-23 F195 ExpendPivot'!$A$5:$K$2119,"CCDDD",'2022-23 Worksheet A'!$B$6,"Program","21","Activity","31","Object","3"),0)</f>
        <v>0</v>
      </c>
      <c r="D83" s="209">
        <v>0</v>
      </c>
      <c r="E83" s="195">
        <f t="shared" si="56"/>
        <v>0</v>
      </c>
      <c r="F83" s="196">
        <f t="shared" si="57"/>
        <v>0</v>
      </c>
      <c r="G83" s="189"/>
      <c r="I83" s="281"/>
      <c r="J83" s="194">
        <v>3</v>
      </c>
      <c r="K83" s="195">
        <f>IFERROR(GETPIVOTDATA("Amount",'22-23 F195 ExpendPivot'!$A$5:$K$2119,"CCDDD",'2022-23 Worksheet A'!$B$6,"Program","23","Activity","31","Object","3"),0)</f>
        <v>0</v>
      </c>
      <c r="L83" s="209">
        <v>0</v>
      </c>
      <c r="M83" s="195">
        <f t="shared" si="58"/>
        <v>0</v>
      </c>
      <c r="N83" s="196">
        <f t="shared" si="59"/>
        <v>0</v>
      </c>
      <c r="O83" s="189"/>
      <c r="Q83" s="281"/>
      <c r="R83" s="194">
        <v>3</v>
      </c>
      <c r="S83" s="195">
        <f>IFERROR(GETPIVOTDATA("Amount",'22-23 F195 ExpendPivot'!$A$5:$K$2119,"CCDDD",'2022-23 Worksheet A'!$B$6,"Program","24","Activity","31","Object","3"),0)</f>
        <v>0</v>
      </c>
      <c r="T83" s="209">
        <v>0</v>
      </c>
      <c r="U83" s="195">
        <f t="shared" si="60"/>
        <v>0</v>
      </c>
      <c r="V83" s="196">
        <f t="shared" si="61"/>
        <v>0</v>
      </c>
      <c r="W83" s="189"/>
      <c r="Y83" s="281"/>
      <c r="Z83" s="194">
        <v>3</v>
      </c>
      <c r="AA83" s="195">
        <f>IFERROR(GETPIVOTDATA("Amount",'22-23 F195 ExpendPivot'!$A$5:$K$2119,"CCDDD",'2022-23 Worksheet A'!$B$6,"Program","26","Activity","31","Object","3"),0)</f>
        <v>0</v>
      </c>
      <c r="AB83" s="209">
        <v>0</v>
      </c>
      <c r="AC83" s="195">
        <f t="shared" si="62"/>
        <v>0</v>
      </c>
      <c r="AD83" s="196">
        <f t="shared" si="63"/>
        <v>0</v>
      </c>
      <c r="AE83" s="189"/>
      <c r="AG83" s="281"/>
      <c r="AH83" s="194">
        <v>3</v>
      </c>
      <c r="AI83" s="195">
        <f>IFERROR(GETPIVOTDATA("Amount",'22-23 F195 ExpendPivot'!$A$5:$K$2119,"CCDDD",'2022-23 Worksheet A'!$B$6,"Program","29","Activity","31","Object","3"),0)</f>
        <v>0</v>
      </c>
      <c r="AJ83" s="209">
        <v>0</v>
      </c>
      <c r="AK83" s="195">
        <f t="shared" si="64"/>
        <v>0</v>
      </c>
      <c r="AL83" s="196">
        <f t="shared" si="65"/>
        <v>0</v>
      </c>
      <c r="AM83" s="189"/>
    </row>
    <row r="84" spans="1:39">
      <c r="A84" s="281"/>
      <c r="B84" s="194">
        <v>4</v>
      </c>
      <c r="C84" s="195">
        <f>IFERROR(GETPIVOTDATA("Amount",'22-23 F195 ExpendPivot'!$A$5:$K$2119,"CCDDD",'2022-23 Worksheet A'!$B$6,"Program","21","Activity","31","Object","4"),0)</f>
        <v>0</v>
      </c>
      <c r="D84" s="209">
        <v>0</v>
      </c>
      <c r="E84" s="195">
        <f t="shared" si="56"/>
        <v>0</v>
      </c>
      <c r="F84" s="196">
        <f t="shared" si="57"/>
        <v>0</v>
      </c>
      <c r="G84" s="189"/>
      <c r="I84" s="281"/>
      <c r="J84" s="194">
        <v>4</v>
      </c>
      <c r="K84" s="195">
        <f>IFERROR(GETPIVOTDATA("Amount",'22-23 F195 ExpendPivot'!$A$5:$K$2119,"CCDDD",'2022-23 Worksheet A'!$B$6,"Program","23","Activity","31","Object","4"),0)</f>
        <v>0</v>
      </c>
      <c r="L84" s="209">
        <v>0</v>
      </c>
      <c r="M84" s="195">
        <f t="shared" si="58"/>
        <v>0</v>
      </c>
      <c r="N84" s="196">
        <f t="shared" si="59"/>
        <v>0</v>
      </c>
      <c r="O84" s="189"/>
      <c r="Q84" s="281"/>
      <c r="R84" s="194">
        <v>4</v>
      </c>
      <c r="S84" s="195">
        <f>IFERROR(GETPIVOTDATA("Amount",'22-23 F195 ExpendPivot'!$A$5:$K$2119,"CCDDD",'2022-23 Worksheet A'!$B$6,"Program","24","Activity","31","Object","4"),0)</f>
        <v>0</v>
      </c>
      <c r="T84" s="209">
        <v>0</v>
      </c>
      <c r="U84" s="195">
        <f t="shared" si="60"/>
        <v>0</v>
      </c>
      <c r="V84" s="196">
        <f t="shared" si="61"/>
        <v>0</v>
      </c>
      <c r="W84" s="189"/>
      <c r="Y84" s="281"/>
      <c r="Z84" s="194">
        <v>4</v>
      </c>
      <c r="AA84" s="195">
        <f>IFERROR(GETPIVOTDATA("Amount",'22-23 F195 ExpendPivot'!$A$5:$K$2119,"CCDDD",'2022-23 Worksheet A'!$B$6,"Program","26","Activity","31","Object","4"),0)</f>
        <v>0</v>
      </c>
      <c r="AB84" s="209">
        <v>0</v>
      </c>
      <c r="AC84" s="195">
        <f t="shared" si="62"/>
        <v>0</v>
      </c>
      <c r="AD84" s="196">
        <f t="shared" si="63"/>
        <v>0</v>
      </c>
      <c r="AE84" s="189"/>
      <c r="AG84" s="281"/>
      <c r="AH84" s="194">
        <v>4</v>
      </c>
      <c r="AI84" s="195">
        <f>IFERROR(GETPIVOTDATA("Amount",'22-23 F195 ExpendPivot'!$A$5:$K$2119,"CCDDD",'2022-23 Worksheet A'!$B$6,"Program","29","Activity","31","Object","4"),0)</f>
        <v>0</v>
      </c>
      <c r="AJ84" s="209">
        <v>0</v>
      </c>
      <c r="AK84" s="195">
        <f t="shared" si="64"/>
        <v>0</v>
      </c>
      <c r="AL84" s="196">
        <f t="shared" si="65"/>
        <v>0</v>
      </c>
      <c r="AM84" s="189"/>
    </row>
    <row r="85" spans="1:39">
      <c r="A85" s="281"/>
      <c r="B85" s="194">
        <v>5</v>
      </c>
      <c r="C85" s="195">
        <f>IFERROR(GETPIVOTDATA("Amount",'22-23 F195 ExpendPivot'!$A$5:$K$2119,"CCDDD",'2022-23 Worksheet A'!$B$6,"Program","21","Activity","31","Object","5"),0)</f>
        <v>0</v>
      </c>
      <c r="D85" s="209">
        <v>0</v>
      </c>
      <c r="E85" s="195">
        <f t="shared" si="56"/>
        <v>0</v>
      </c>
      <c r="F85" s="196">
        <f t="shared" si="57"/>
        <v>0</v>
      </c>
      <c r="G85" s="189"/>
      <c r="I85" s="281"/>
      <c r="J85" s="194">
        <v>5</v>
      </c>
      <c r="K85" s="195">
        <f>IFERROR(GETPIVOTDATA("Amount",'22-23 F195 ExpendPivot'!$A$5:$K$2119,"CCDDD",'2022-23 Worksheet A'!$B$6,"Program","23","Activity","31","Object","5"),0)</f>
        <v>0</v>
      </c>
      <c r="L85" s="209">
        <v>0</v>
      </c>
      <c r="M85" s="195">
        <f t="shared" si="58"/>
        <v>0</v>
      </c>
      <c r="N85" s="196">
        <f t="shared" si="59"/>
        <v>0</v>
      </c>
      <c r="O85" s="189"/>
      <c r="Q85" s="281"/>
      <c r="R85" s="194">
        <v>5</v>
      </c>
      <c r="S85" s="195">
        <f>IFERROR(GETPIVOTDATA("Amount",'22-23 F195 ExpendPivot'!$A$5:$K$2119,"CCDDD",'2022-23 Worksheet A'!$B$6,"Program","24","Activity","31","Object","5"),0)</f>
        <v>0</v>
      </c>
      <c r="T85" s="209">
        <v>0</v>
      </c>
      <c r="U85" s="195">
        <f t="shared" si="60"/>
        <v>0</v>
      </c>
      <c r="V85" s="196">
        <f t="shared" si="61"/>
        <v>0</v>
      </c>
      <c r="W85" s="189"/>
      <c r="Y85" s="281"/>
      <c r="Z85" s="194">
        <v>5</v>
      </c>
      <c r="AA85" s="195">
        <f>IFERROR(GETPIVOTDATA("Amount",'22-23 F195 ExpendPivot'!$A$5:$K$2119,"CCDDD",'2022-23 Worksheet A'!$B$6,"Program","26","Activity","31","Object","5"),0)</f>
        <v>0</v>
      </c>
      <c r="AB85" s="209">
        <v>0</v>
      </c>
      <c r="AC85" s="195">
        <f t="shared" si="62"/>
        <v>0</v>
      </c>
      <c r="AD85" s="196">
        <f t="shared" si="63"/>
        <v>0</v>
      </c>
      <c r="AE85" s="189"/>
      <c r="AG85" s="281"/>
      <c r="AH85" s="194">
        <v>5</v>
      </c>
      <c r="AI85" s="195">
        <f>IFERROR(GETPIVOTDATA("Amount",'22-23 F195 ExpendPivot'!$A$5:$K$2119,"CCDDD",'2022-23 Worksheet A'!$B$6,"Program","29","Activity","31","Object","5"),0)</f>
        <v>0</v>
      </c>
      <c r="AJ85" s="209">
        <v>0</v>
      </c>
      <c r="AK85" s="195">
        <f t="shared" si="64"/>
        <v>0</v>
      </c>
      <c r="AL85" s="196">
        <f t="shared" si="65"/>
        <v>0</v>
      </c>
      <c r="AM85" s="189"/>
    </row>
    <row r="86" spans="1:39">
      <c r="A86" s="281"/>
      <c r="B86" s="194">
        <v>7</v>
      </c>
      <c r="C86" s="195">
        <f>IFERROR(GETPIVOTDATA("Amount",'22-23 F195 ExpendPivot'!$A$5:$K$2119,"CCDDD",'2022-23 Worksheet A'!$B$6,"Program","21","Activity","31","Object","7"),0)</f>
        <v>0</v>
      </c>
      <c r="D86" s="209">
        <v>0</v>
      </c>
      <c r="E86" s="195">
        <f t="shared" si="56"/>
        <v>0</v>
      </c>
      <c r="F86" s="196">
        <f t="shared" si="57"/>
        <v>0</v>
      </c>
      <c r="G86" s="189"/>
      <c r="I86" s="281"/>
      <c r="J86" s="194">
        <v>7</v>
      </c>
      <c r="K86" s="195">
        <f>IFERROR(GETPIVOTDATA("Amount",'22-23 F195 ExpendPivot'!$A$5:$K$2119,"CCDDD",'2022-23 Worksheet A'!$B$6,"Program","23","Activity","31","Object","7"),0)</f>
        <v>0</v>
      </c>
      <c r="L86" s="209">
        <v>0</v>
      </c>
      <c r="M86" s="195">
        <f t="shared" si="58"/>
        <v>0</v>
      </c>
      <c r="N86" s="196">
        <f t="shared" si="59"/>
        <v>0</v>
      </c>
      <c r="O86" s="189"/>
      <c r="Q86" s="281"/>
      <c r="R86" s="194">
        <v>7</v>
      </c>
      <c r="S86" s="195">
        <f>IFERROR(GETPIVOTDATA("Amount",'22-23 F195 ExpendPivot'!$A$5:$K$2119,"CCDDD",'2022-23 Worksheet A'!$B$6,"Program","24","Activity","31","Object","7"),0)</f>
        <v>0</v>
      </c>
      <c r="T86" s="209">
        <v>0</v>
      </c>
      <c r="U86" s="195">
        <f t="shared" si="60"/>
        <v>0</v>
      </c>
      <c r="V86" s="196">
        <f t="shared" si="61"/>
        <v>0</v>
      </c>
      <c r="W86" s="189"/>
      <c r="Y86" s="281"/>
      <c r="Z86" s="194">
        <v>7</v>
      </c>
      <c r="AA86" s="195">
        <f>IFERROR(GETPIVOTDATA("Amount",'22-23 F195 ExpendPivot'!$A$5:$K$2119,"CCDDD",'2022-23 Worksheet A'!$B$6,"Program","26","Activity","31","Object","7"),0)</f>
        <v>0</v>
      </c>
      <c r="AB86" s="209">
        <v>0</v>
      </c>
      <c r="AC86" s="195">
        <f t="shared" si="62"/>
        <v>0</v>
      </c>
      <c r="AD86" s="196">
        <f t="shared" si="63"/>
        <v>0</v>
      </c>
      <c r="AE86" s="189"/>
      <c r="AG86" s="281"/>
      <c r="AH86" s="194">
        <v>7</v>
      </c>
      <c r="AI86" s="195">
        <f>IFERROR(GETPIVOTDATA("Amount",'22-23 F195 ExpendPivot'!$A$5:$K$2119,"CCDDD",'2022-23 Worksheet A'!$B$6,"Program","29","Activity","31","Object","7"),0)</f>
        <v>0</v>
      </c>
      <c r="AJ86" s="209">
        <v>0</v>
      </c>
      <c r="AK86" s="195">
        <f t="shared" si="64"/>
        <v>0</v>
      </c>
      <c r="AL86" s="196">
        <f t="shared" si="65"/>
        <v>0</v>
      </c>
      <c r="AM86" s="189"/>
    </row>
    <row r="87" spans="1:39">
      <c r="A87" s="281"/>
      <c r="B87" s="194">
        <v>8</v>
      </c>
      <c r="C87" s="195">
        <f>IFERROR(GETPIVOTDATA("Amount",'22-23 F195 ExpendPivot'!$A$5:$K$2119,"CCDDD",'2022-23 Worksheet A'!$B$6,"Program","21","Activity","31","Object","8"),0)</f>
        <v>0</v>
      </c>
      <c r="D87" s="209">
        <v>0</v>
      </c>
      <c r="E87" s="195">
        <f t="shared" si="56"/>
        <v>0</v>
      </c>
      <c r="F87" s="196">
        <f t="shared" si="57"/>
        <v>0</v>
      </c>
      <c r="G87" s="189"/>
      <c r="I87" s="281"/>
      <c r="J87" s="194">
        <v>8</v>
      </c>
      <c r="K87" s="195">
        <f>IFERROR(GETPIVOTDATA("Amount",'22-23 F195 ExpendPivot'!$A$5:$K$2119,"CCDDD",'2022-23 Worksheet A'!$B$6,"Program","23","Activity","31","Object","8"),0)</f>
        <v>0</v>
      </c>
      <c r="L87" s="209">
        <v>0</v>
      </c>
      <c r="M87" s="195">
        <f t="shared" si="58"/>
        <v>0</v>
      </c>
      <c r="N87" s="196">
        <f t="shared" si="59"/>
        <v>0</v>
      </c>
      <c r="O87" s="189"/>
      <c r="Q87" s="281"/>
      <c r="R87" s="194">
        <v>8</v>
      </c>
      <c r="S87" s="195">
        <f>IFERROR(GETPIVOTDATA("Amount",'22-23 F195 ExpendPivot'!$A$5:$K$2119,"CCDDD",'2022-23 Worksheet A'!$B$6,"Program","24","Activity","31","Object","8"),0)</f>
        <v>0</v>
      </c>
      <c r="T87" s="209">
        <v>0</v>
      </c>
      <c r="U87" s="195">
        <f t="shared" si="60"/>
        <v>0</v>
      </c>
      <c r="V87" s="196">
        <f t="shared" si="61"/>
        <v>0</v>
      </c>
      <c r="W87" s="189"/>
      <c r="Y87" s="281"/>
      <c r="Z87" s="194">
        <v>8</v>
      </c>
      <c r="AA87" s="195">
        <f>IFERROR(GETPIVOTDATA("Amount",'22-23 F195 ExpendPivot'!$A$5:$K$2119,"CCDDD",'2022-23 Worksheet A'!$B$6,"Program","26","Activity","31","Object","8"),0)</f>
        <v>0</v>
      </c>
      <c r="AB87" s="209">
        <v>0</v>
      </c>
      <c r="AC87" s="195">
        <f t="shared" si="62"/>
        <v>0</v>
      </c>
      <c r="AD87" s="196">
        <f t="shared" si="63"/>
        <v>0</v>
      </c>
      <c r="AE87" s="189"/>
      <c r="AG87" s="281"/>
      <c r="AH87" s="194">
        <v>8</v>
      </c>
      <c r="AI87" s="195">
        <f>IFERROR(GETPIVOTDATA("Amount",'22-23 F195 ExpendPivot'!$A$5:$K$2119,"CCDDD",'2022-23 Worksheet A'!$B$6,"Program","29","Activity","31","Object","8"),0)</f>
        <v>0</v>
      </c>
      <c r="AJ87" s="209">
        <v>0</v>
      </c>
      <c r="AK87" s="195">
        <f t="shared" si="64"/>
        <v>0</v>
      </c>
      <c r="AL87" s="196">
        <f t="shared" si="65"/>
        <v>0</v>
      </c>
      <c r="AM87" s="189"/>
    </row>
    <row r="88" spans="1:39">
      <c r="A88" s="281"/>
      <c r="B88" s="194">
        <v>9</v>
      </c>
      <c r="C88" s="195">
        <f>IFERROR(GETPIVOTDATA("Amount",'22-23 F195 ExpendPivot'!$A$5:$K$2119,"CCDDD",'2022-23 Worksheet A'!$B$6,"Program","21","Activity","31","Object","9"),0)</f>
        <v>0</v>
      </c>
      <c r="D88" s="209">
        <v>0</v>
      </c>
      <c r="E88" s="195">
        <f t="shared" si="56"/>
        <v>0</v>
      </c>
      <c r="F88" s="196">
        <f t="shared" si="57"/>
        <v>0</v>
      </c>
      <c r="G88" s="189"/>
      <c r="I88" s="281"/>
      <c r="J88" s="194">
        <v>9</v>
      </c>
      <c r="K88" s="195">
        <f>IFERROR(GETPIVOTDATA("Amount",'22-23 F195 ExpendPivot'!$A$5:$K$2119,"CCDDD",'2022-23 Worksheet A'!$B$6,"Program","23","Activity","31","Object","9"),0)</f>
        <v>0</v>
      </c>
      <c r="L88" s="209">
        <v>0</v>
      </c>
      <c r="M88" s="195">
        <f t="shared" si="58"/>
        <v>0</v>
      </c>
      <c r="N88" s="196">
        <f t="shared" si="59"/>
        <v>0</v>
      </c>
      <c r="O88" s="189"/>
      <c r="Q88" s="281"/>
      <c r="R88" s="194">
        <v>9</v>
      </c>
      <c r="S88" s="195">
        <f>IFERROR(GETPIVOTDATA("Amount",'22-23 F195 ExpendPivot'!$A$5:$K$2119,"CCDDD",'2022-23 Worksheet A'!$B$6,"Program","24","Activity","31","Object","9"),0)</f>
        <v>0</v>
      </c>
      <c r="T88" s="209">
        <v>0</v>
      </c>
      <c r="U88" s="195">
        <f t="shared" si="60"/>
        <v>0</v>
      </c>
      <c r="V88" s="196">
        <f t="shared" si="61"/>
        <v>0</v>
      </c>
      <c r="W88" s="189"/>
      <c r="Y88" s="281"/>
      <c r="Z88" s="194">
        <v>9</v>
      </c>
      <c r="AA88" s="195">
        <f>IFERROR(GETPIVOTDATA("Amount",'22-23 F195 ExpendPivot'!$A$5:$K$2119,"CCDDD",'2022-23 Worksheet A'!$B$6,"Program","26","Activity","31","Object","9"),0)</f>
        <v>0</v>
      </c>
      <c r="AB88" s="209">
        <v>0</v>
      </c>
      <c r="AC88" s="195">
        <f t="shared" si="62"/>
        <v>0</v>
      </c>
      <c r="AD88" s="196">
        <f t="shared" si="63"/>
        <v>0</v>
      </c>
      <c r="AE88" s="189"/>
      <c r="AG88" s="281"/>
      <c r="AH88" s="194">
        <v>9</v>
      </c>
      <c r="AI88" s="195">
        <f>IFERROR(GETPIVOTDATA("Amount",'22-23 F195 ExpendPivot'!$A$5:$K$2119,"CCDDD",'2022-23 Worksheet A'!$B$6,"Program","29","Activity","31","Object","9"),0)</f>
        <v>0</v>
      </c>
      <c r="AJ88" s="209">
        <v>0</v>
      </c>
      <c r="AK88" s="195">
        <f t="shared" si="64"/>
        <v>0</v>
      </c>
      <c r="AL88" s="196">
        <f t="shared" si="65"/>
        <v>0</v>
      </c>
      <c r="AM88" s="189"/>
    </row>
    <row r="89" spans="1:39">
      <c r="A89" s="282"/>
      <c r="B89" s="210"/>
      <c r="C89" s="211">
        <f>SUM(C81:C88)</f>
        <v>0</v>
      </c>
      <c r="D89" s="211">
        <f>SUM(D81:D88)</f>
        <v>0</v>
      </c>
      <c r="E89" s="211">
        <f>SUM(E81:E88)</f>
        <v>0</v>
      </c>
      <c r="F89" s="212"/>
      <c r="G89" s="213"/>
      <c r="I89" s="282"/>
      <c r="J89" s="210"/>
      <c r="K89" s="211">
        <f>SUM(K81:K88)</f>
        <v>0</v>
      </c>
      <c r="L89" s="211">
        <f>SUM(L81:L88)</f>
        <v>0</v>
      </c>
      <c r="M89" s="211">
        <f>SUM(M81:M88)</f>
        <v>0</v>
      </c>
      <c r="N89" s="212"/>
      <c r="O89" s="213"/>
      <c r="Q89" s="282"/>
      <c r="R89" s="210"/>
      <c r="S89" s="211">
        <f>SUM(S81:S88)</f>
        <v>0</v>
      </c>
      <c r="T89" s="211">
        <f>SUM(T81:T88)</f>
        <v>0</v>
      </c>
      <c r="U89" s="211">
        <f>SUM(U81:U88)</f>
        <v>0</v>
      </c>
      <c r="V89" s="212"/>
      <c r="W89" s="213"/>
      <c r="Y89" s="282"/>
      <c r="Z89" s="210"/>
      <c r="AA89" s="211">
        <f>SUM(AA81:AA88)</f>
        <v>0</v>
      </c>
      <c r="AB89" s="211">
        <f>SUM(AB81:AB88)</f>
        <v>0</v>
      </c>
      <c r="AC89" s="211">
        <f>SUM(AC81:AC88)</f>
        <v>0</v>
      </c>
      <c r="AD89" s="212"/>
      <c r="AE89" s="213"/>
      <c r="AG89" s="282"/>
      <c r="AH89" s="210"/>
      <c r="AI89" s="211">
        <f>SUM(AI81:AI88)</f>
        <v>0</v>
      </c>
      <c r="AJ89" s="211">
        <f>SUM(AJ81:AJ88)</f>
        <v>0</v>
      </c>
      <c r="AK89" s="211">
        <f>SUM(AK81:AK88)</f>
        <v>0</v>
      </c>
      <c r="AL89" s="212"/>
      <c r="AM89" s="213"/>
    </row>
    <row r="90" spans="1:39">
      <c r="A90" s="280">
        <v>32</v>
      </c>
      <c r="B90" s="190">
        <v>0</v>
      </c>
      <c r="C90" s="191">
        <f>IFERROR(GETPIVOTDATA("Amount",'22-23 F195 ExpendPivot'!$A$5:$K$2119,"CCDDD",'2022-23 Worksheet A'!$B$6,"Program","21","Activity","32","Object","0"),0)</f>
        <v>0</v>
      </c>
      <c r="D90" s="208">
        <v>0</v>
      </c>
      <c r="E90" s="191">
        <f t="shared" ref="E90:E97" si="66">D90/$D$3*12</f>
        <v>0</v>
      </c>
      <c r="F90" s="196">
        <f t="shared" ref="F90:F97" si="67">IFERROR((E90-C90)/C90,0)</f>
        <v>0</v>
      </c>
      <c r="G90" s="193"/>
      <c r="I90" s="280">
        <v>32</v>
      </c>
      <c r="J90" s="190">
        <v>0</v>
      </c>
      <c r="K90" s="191">
        <f>IFERROR(GETPIVOTDATA("Amount",'22-23 F195 ExpendPivot'!$A$5:$K$2119,"CCDDD",'2022-23 Worksheet A'!$B$6,"Program","23","Activity","32","Object","0"),0)</f>
        <v>0</v>
      </c>
      <c r="L90" s="208">
        <v>0</v>
      </c>
      <c r="M90" s="191">
        <f t="shared" ref="M90:M97" si="68">L90/$D$3*12</f>
        <v>0</v>
      </c>
      <c r="N90" s="192">
        <f t="shared" ref="N90:N97" si="69">IFERROR((M90-K90)/K90,0)</f>
        <v>0</v>
      </c>
      <c r="O90" s="193"/>
      <c r="Q90" s="280">
        <v>32</v>
      </c>
      <c r="R90" s="190">
        <v>0</v>
      </c>
      <c r="S90" s="191">
        <f>IFERROR(GETPIVOTDATA("Amount",'22-23 F195 ExpendPivot'!$A$5:$K$2119,"CCDDD",'2022-23 Worksheet A'!$B$6,"Program","24","Activity","32","Object","0"),0)</f>
        <v>0</v>
      </c>
      <c r="T90" s="208">
        <v>0</v>
      </c>
      <c r="U90" s="191">
        <f t="shared" ref="U90:U97" si="70">T90/$D$3*12</f>
        <v>0</v>
      </c>
      <c r="V90" s="192">
        <f t="shared" ref="V90:V97" si="71">IFERROR((U90-S90)/S90,0)</f>
        <v>0</v>
      </c>
      <c r="W90" s="193"/>
      <c r="Y90" s="280">
        <v>32</v>
      </c>
      <c r="Z90" s="190">
        <v>0</v>
      </c>
      <c r="AA90" s="191">
        <f>IFERROR(GETPIVOTDATA("Amount",'22-23 F195 ExpendPivot'!$A$5:$K$2119,"CCDDD",'2022-23 Worksheet A'!$B$6,"Program","26","Activity","32","Object","0"),0)</f>
        <v>0</v>
      </c>
      <c r="AB90" s="208">
        <v>0</v>
      </c>
      <c r="AC90" s="191">
        <f t="shared" ref="AC90:AC97" si="72">AB90/$D$3*12</f>
        <v>0</v>
      </c>
      <c r="AD90" s="192">
        <f t="shared" ref="AD90:AD97" si="73">IFERROR((AC90-AA90)/AA90,0)</f>
        <v>0</v>
      </c>
      <c r="AE90" s="193"/>
      <c r="AG90" s="280">
        <v>32</v>
      </c>
      <c r="AH90" s="190">
        <v>0</v>
      </c>
      <c r="AI90" s="191">
        <f>IFERROR(GETPIVOTDATA("Amount",'22-23 F195 ExpendPivot'!$A$5:$K$2119,"CCDDD",'2022-23 Worksheet A'!$B$6,"Program","29","Activity","32","Object","0"),0)</f>
        <v>0</v>
      </c>
      <c r="AJ90" s="208">
        <v>0</v>
      </c>
      <c r="AK90" s="191">
        <f t="shared" ref="AK90:AK97" si="74">AJ90/$D$3*12</f>
        <v>0</v>
      </c>
      <c r="AL90" s="192">
        <f t="shared" ref="AL90:AL97" si="75">IFERROR((AK90-AI90)/AI90,0)</f>
        <v>0</v>
      </c>
      <c r="AM90" s="193"/>
    </row>
    <row r="91" spans="1:39">
      <c r="A91" s="281"/>
      <c r="B91" s="194">
        <v>2</v>
      </c>
      <c r="C91" s="195">
        <f>IFERROR(GETPIVOTDATA("Amount",'22-23 F195 ExpendPivot'!$A$5:$K$2119,"CCDDD",'2022-23 Worksheet A'!$B$6,"Program","21","Activity","32","Object","2"),0)</f>
        <v>0</v>
      </c>
      <c r="D91" s="209">
        <v>0</v>
      </c>
      <c r="E91" s="195">
        <f t="shared" si="66"/>
        <v>0</v>
      </c>
      <c r="F91" s="196">
        <f t="shared" si="67"/>
        <v>0</v>
      </c>
      <c r="G91" s="189"/>
      <c r="I91" s="281"/>
      <c r="J91" s="194">
        <v>2</v>
      </c>
      <c r="K91" s="195">
        <f>IFERROR(GETPIVOTDATA("Amount",'22-23 F195 ExpendPivot'!$A$5:$K$2119,"CCDDD",'2022-23 Worksheet A'!$B$6,"Program","23","Activity","32","Object","2"),0)</f>
        <v>0</v>
      </c>
      <c r="L91" s="209">
        <v>0</v>
      </c>
      <c r="M91" s="195">
        <f t="shared" si="68"/>
        <v>0</v>
      </c>
      <c r="N91" s="196">
        <f t="shared" si="69"/>
        <v>0</v>
      </c>
      <c r="O91" s="189"/>
      <c r="Q91" s="281"/>
      <c r="R91" s="194">
        <v>2</v>
      </c>
      <c r="S91" s="195">
        <f>IFERROR(GETPIVOTDATA("Amount",'22-23 F195 ExpendPivot'!$A$5:$K$2119,"CCDDD",'2022-23 Worksheet A'!$B$6,"Program","24","Activity","32","Object","2"),0)</f>
        <v>0</v>
      </c>
      <c r="T91" s="209">
        <v>0</v>
      </c>
      <c r="U91" s="195">
        <f t="shared" si="70"/>
        <v>0</v>
      </c>
      <c r="V91" s="196">
        <f t="shared" si="71"/>
        <v>0</v>
      </c>
      <c r="W91" s="189"/>
      <c r="Y91" s="281"/>
      <c r="Z91" s="194">
        <v>2</v>
      </c>
      <c r="AA91" s="195">
        <f>IFERROR(GETPIVOTDATA("Amount",'22-23 F195 ExpendPivot'!$A$5:$K$2119,"CCDDD",'2022-23 Worksheet A'!$B$6,"Program","26","Activity","32","Object","2"),0)</f>
        <v>0</v>
      </c>
      <c r="AB91" s="209">
        <v>0</v>
      </c>
      <c r="AC91" s="195">
        <f t="shared" si="72"/>
        <v>0</v>
      </c>
      <c r="AD91" s="196">
        <f t="shared" si="73"/>
        <v>0</v>
      </c>
      <c r="AE91" s="189"/>
      <c r="AG91" s="281"/>
      <c r="AH91" s="194">
        <v>2</v>
      </c>
      <c r="AI91" s="195">
        <f>IFERROR(GETPIVOTDATA("Amount",'22-23 F195 ExpendPivot'!$A$5:$K$2119,"CCDDD",'2022-23 Worksheet A'!$B$6,"Program","29","Activity","32","Object","2"),0)</f>
        <v>0</v>
      </c>
      <c r="AJ91" s="209">
        <v>0</v>
      </c>
      <c r="AK91" s="195">
        <f t="shared" si="74"/>
        <v>0</v>
      </c>
      <c r="AL91" s="196">
        <f t="shared" si="75"/>
        <v>0</v>
      </c>
      <c r="AM91" s="189"/>
    </row>
    <row r="92" spans="1:39">
      <c r="A92" s="281"/>
      <c r="B92" s="194">
        <v>3</v>
      </c>
      <c r="C92" s="195">
        <f>IFERROR(GETPIVOTDATA("Amount",'22-23 F195 ExpendPivot'!$A$5:$K$2119,"CCDDD",'2022-23 Worksheet A'!$B$6,"Program","21","Activity","32","Object","3"),0)</f>
        <v>0</v>
      </c>
      <c r="D92" s="209">
        <v>0</v>
      </c>
      <c r="E92" s="195">
        <f t="shared" si="66"/>
        <v>0</v>
      </c>
      <c r="F92" s="196">
        <f t="shared" si="67"/>
        <v>0</v>
      </c>
      <c r="G92" s="189"/>
      <c r="I92" s="281"/>
      <c r="J92" s="194">
        <v>3</v>
      </c>
      <c r="K92" s="195">
        <f>IFERROR(GETPIVOTDATA("Amount",'22-23 F195 ExpendPivot'!$A$5:$K$2119,"CCDDD",'2022-23 Worksheet A'!$B$6,"Program","23","Activity","32","Object","3"),0)</f>
        <v>0</v>
      </c>
      <c r="L92" s="209">
        <v>0</v>
      </c>
      <c r="M92" s="195">
        <f t="shared" si="68"/>
        <v>0</v>
      </c>
      <c r="N92" s="196">
        <f t="shared" si="69"/>
        <v>0</v>
      </c>
      <c r="O92" s="189"/>
      <c r="Q92" s="281"/>
      <c r="R92" s="194">
        <v>3</v>
      </c>
      <c r="S92" s="195">
        <f>IFERROR(GETPIVOTDATA("Amount",'22-23 F195 ExpendPivot'!$A$5:$K$2119,"CCDDD",'2022-23 Worksheet A'!$B$6,"Program","24","Activity","32","Object","3"),0)</f>
        <v>0</v>
      </c>
      <c r="T92" s="209">
        <v>0</v>
      </c>
      <c r="U92" s="195">
        <f t="shared" si="70"/>
        <v>0</v>
      </c>
      <c r="V92" s="196">
        <f t="shared" si="71"/>
        <v>0</v>
      </c>
      <c r="W92" s="189"/>
      <c r="Y92" s="281"/>
      <c r="Z92" s="194">
        <v>3</v>
      </c>
      <c r="AA92" s="195">
        <f>IFERROR(GETPIVOTDATA("Amount",'22-23 F195 ExpendPivot'!$A$5:$K$2119,"CCDDD",'2022-23 Worksheet A'!$B$6,"Program","26","Activity","32","Object","3"),0)</f>
        <v>0</v>
      </c>
      <c r="AB92" s="209">
        <v>0</v>
      </c>
      <c r="AC92" s="195">
        <f t="shared" si="72"/>
        <v>0</v>
      </c>
      <c r="AD92" s="196">
        <f t="shared" si="73"/>
        <v>0</v>
      </c>
      <c r="AE92" s="189"/>
      <c r="AG92" s="281"/>
      <c r="AH92" s="194">
        <v>3</v>
      </c>
      <c r="AI92" s="195">
        <f>IFERROR(GETPIVOTDATA("Amount",'22-23 F195 ExpendPivot'!$A$5:$K$2119,"CCDDD",'2022-23 Worksheet A'!$B$6,"Program","29","Activity","32","Object","3"),0)</f>
        <v>0</v>
      </c>
      <c r="AJ92" s="209">
        <v>0</v>
      </c>
      <c r="AK92" s="195">
        <f t="shared" si="74"/>
        <v>0</v>
      </c>
      <c r="AL92" s="196">
        <f t="shared" si="75"/>
        <v>0</v>
      </c>
      <c r="AM92" s="189"/>
    </row>
    <row r="93" spans="1:39">
      <c r="A93" s="281"/>
      <c r="B93" s="194">
        <v>4</v>
      </c>
      <c r="C93" s="195">
        <f>IFERROR(GETPIVOTDATA("Amount",'22-23 F195 ExpendPivot'!$A$5:$K$2119,"CCDDD",'2022-23 Worksheet A'!$B$6,"Program","21","Activity","32","Object","4"),0)</f>
        <v>0</v>
      </c>
      <c r="D93" s="209">
        <v>0</v>
      </c>
      <c r="E93" s="195">
        <f t="shared" si="66"/>
        <v>0</v>
      </c>
      <c r="F93" s="196">
        <f t="shared" si="67"/>
        <v>0</v>
      </c>
      <c r="G93" s="189"/>
      <c r="I93" s="281"/>
      <c r="J93" s="194">
        <v>4</v>
      </c>
      <c r="K93" s="195">
        <f>IFERROR(GETPIVOTDATA("Amount",'22-23 F195 ExpendPivot'!$A$5:$K$2119,"CCDDD",'2022-23 Worksheet A'!$B$6,"Program","23","Activity","32","Object","4"),0)</f>
        <v>0</v>
      </c>
      <c r="L93" s="209">
        <v>0</v>
      </c>
      <c r="M93" s="195">
        <f t="shared" si="68"/>
        <v>0</v>
      </c>
      <c r="N93" s="196">
        <f t="shared" si="69"/>
        <v>0</v>
      </c>
      <c r="O93" s="189"/>
      <c r="Q93" s="281"/>
      <c r="R93" s="194">
        <v>4</v>
      </c>
      <c r="S93" s="195">
        <f>IFERROR(GETPIVOTDATA("Amount",'22-23 F195 ExpendPivot'!$A$5:$K$2119,"CCDDD",'2022-23 Worksheet A'!$B$6,"Program","24","Activity","32","Object","4"),0)</f>
        <v>0</v>
      </c>
      <c r="T93" s="209">
        <v>0</v>
      </c>
      <c r="U93" s="195">
        <f t="shared" si="70"/>
        <v>0</v>
      </c>
      <c r="V93" s="196">
        <f t="shared" si="71"/>
        <v>0</v>
      </c>
      <c r="W93" s="189"/>
      <c r="Y93" s="281"/>
      <c r="Z93" s="194">
        <v>4</v>
      </c>
      <c r="AA93" s="195">
        <f>IFERROR(GETPIVOTDATA("Amount",'22-23 F195 ExpendPivot'!$A$5:$K$2119,"CCDDD",'2022-23 Worksheet A'!$B$6,"Program","26","Activity","32","Object","4"),0)</f>
        <v>0</v>
      </c>
      <c r="AB93" s="209">
        <v>0</v>
      </c>
      <c r="AC93" s="195">
        <f t="shared" si="72"/>
        <v>0</v>
      </c>
      <c r="AD93" s="196">
        <f t="shared" si="73"/>
        <v>0</v>
      </c>
      <c r="AE93" s="189"/>
      <c r="AG93" s="281"/>
      <c r="AH93" s="194">
        <v>4</v>
      </c>
      <c r="AI93" s="195">
        <f>IFERROR(GETPIVOTDATA("Amount",'22-23 F195 ExpendPivot'!$A$5:$K$2119,"CCDDD",'2022-23 Worksheet A'!$B$6,"Program","29","Activity","32","Object","4"),0)</f>
        <v>0</v>
      </c>
      <c r="AJ93" s="209">
        <v>0</v>
      </c>
      <c r="AK93" s="195">
        <f t="shared" si="74"/>
        <v>0</v>
      </c>
      <c r="AL93" s="196">
        <f t="shared" si="75"/>
        <v>0</v>
      </c>
      <c r="AM93" s="189"/>
    </row>
    <row r="94" spans="1:39">
      <c r="A94" s="281"/>
      <c r="B94" s="194">
        <v>5</v>
      </c>
      <c r="C94" s="195">
        <f>IFERROR(GETPIVOTDATA("Amount",'22-23 F195 ExpendPivot'!$A$5:$K$2119,"CCDDD",'2022-23 Worksheet A'!$B$6,"Program","21","Activity","32","Object","5"),0)</f>
        <v>0</v>
      </c>
      <c r="D94" s="209">
        <v>0</v>
      </c>
      <c r="E94" s="195">
        <f t="shared" si="66"/>
        <v>0</v>
      </c>
      <c r="F94" s="196">
        <f t="shared" si="67"/>
        <v>0</v>
      </c>
      <c r="G94" s="189"/>
      <c r="I94" s="281"/>
      <c r="J94" s="194">
        <v>5</v>
      </c>
      <c r="K94" s="195">
        <f>IFERROR(GETPIVOTDATA("Amount",'22-23 F195 ExpendPivot'!$A$5:$K$2119,"CCDDD",'2022-23 Worksheet A'!$B$6,"Program","23","Activity","32","Object","5"),0)</f>
        <v>0</v>
      </c>
      <c r="L94" s="209">
        <v>0</v>
      </c>
      <c r="M94" s="195">
        <f t="shared" si="68"/>
        <v>0</v>
      </c>
      <c r="N94" s="196">
        <f t="shared" si="69"/>
        <v>0</v>
      </c>
      <c r="O94" s="189"/>
      <c r="Q94" s="281"/>
      <c r="R94" s="194">
        <v>5</v>
      </c>
      <c r="S94" s="195">
        <f>IFERROR(GETPIVOTDATA("Amount",'22-23 F195 ExpendPivot'!$A$5:$K$2119,"CCDDD",'2022-23 Worksheet A'!$B$6,"Program","24","Activity","32","Object","5"),0)</f>
        <v>0</v>
      </c>
      <c r="T94" s="209">
        <v>0</v>
      </c>
      <c r="U94" s="195">
        <f t="shared" si="70"/>
        <v>0</v>
      </c>
      <c r="V94" s="196">
        <f t="shared" si="71"/>
        <v>0</v>
      </c>
      <c r="W94" s="189"/>
      <c r="Y94" s="281"/>
      <c r="Z94" s="194">
        <v>5</v>
      </c>
      <c r="AA94" s="195">
        <f>IFERROR(GETPIVOTDATA("Amount",'22-23 F195 ExpendPivot'!$A$5:$K$2119,"CCDDD",'2022-23 Worksheet A'!$B$6,"Program","26","Activity","32","Object","5"),0)</f>
        <v>0</v>
      </c>
      <c r="AB94" s="209">
        <v>0</v>
      </c>
      <c r="AC94" s="195">
        <f t="shared" si="72"/>
        <v>0</v>
      </c>
      <c r="AD94" s="196">
        <f t="shared" si="73"/>
        <v>0</v>
      </c>
      <c r="AE94" s="189"/>
      <c r="AG94" s="281"/>
      <c r="AH94" s="194">
        <v>5</v>
      </c>
      <c r="AI94" s="195">
        <f>IFERROR(GETPIVOTDATA("Amount",'22-23 F195 ExpendPivot'!$A$5:$K$2119,"CCDDD",'2022-23 Worksheet A'!$B$6,"Program","29","Activity","32","Object","5"),0)</f>
        <v>0</v>
      </c>
      <c r="AJ94" s="209">
        <v>0</v>
      </c>
      <c r="AK94" s="195">
        <f t="shared" si="74"/>
        <v>0</v>
      </c>
      <c r="AL94" s="196">
        <f t="shared" si="75"/>
        <v>0</v>
      </c>
      <c r="AM94" s="189"/>
    </row>
    <row r="95" spans="1:39">
      <c r="A95" s="281"/>
      <c r="B95" s="194">
        <v>7</v>
      </c>
      <c r="C95" s="195">
        <f>IFERROR(GETPIVOTDATA("Amount",'22-23 F195 ExpendPivot'!$A$5:$K$2119,"CCDDD",'2022-23 Worksheet A'!$B$6,"Program","21","Activity","32","Object","7"),0)</f>
        <v>0</v>
      </c>
      <c r="D95" s="209">
        <v>0</v>
      </c>
      <c r="E95" s="195">
        <f t="shared" si="66"/>
        <v>0</v>
      </c>
      <c r="F95" s="196">
        <f t="shared" si="67"/>
        <v>0</v>
      </c>
      <c r="G95" s="189"/>
      <c r="I95" s="281"/>
      <c r="J95" s="194">
        <v>7</v>
      </c>
      <c r="K95" s="195">
        <f>IFERROR(GETPIVOTDATA("Amount",'22-23 F195 ExpendPivot'!$A$5:$K$2119,"CCDDD",'2022-23 Worksheet A'!$B$6,"Program","23","Activity","32","Object","7"),0)</f>
        <v>0</v>
      </c>
      <c r="L95" s="209">
        <v>0</v>
      </c>
      <c r="M95" s="195">
        <f t="shared" si="68"/>
        <v>0</v>
      </c>
      <c r="N95" s="196">
        <f t="shared" si="69"/>
        <v>0</v>
      </c>
      <c r="O95" s="189"/>
      <c r="Q95" s="281"/>
      <c r="R95" s="194">
        <v>7</v>
      </c>
      <c r="S95" s="195">
        <f>IFERROR(GETPIVOTDATA("Amount",'22-23 F195 ExpendPivot'!$A$5:$K$2119,"CCDDD",'2022-23 Worksheet A'!$B$6,"Program","24","Activity","32","Object","7"),0)</f>
        <v>0</v>
      </c>
      <c r="T95" s="209">
        <v>0</v>
      </c>
      <c r="U95" s="195">
        <f t="shared" si="70"/>
        <v>0</v>
      </c>
      <c r="V95" s="196">
        <f t="shared" si="71"/>
        <v>0</v>
      </c>
      <c r="W95" s="189"/>
      <c r="Y95" s="281"/>
      <c r="Z95" s="194">
        <v>7</v>
      </c>
      <c r="AA95" s="195">
        <f>IFERROR(GETPIVOTDATA("Amount",'22-23 F195 ExpendPivot'!$A$5:$K$2119,"CCDDD",'2022-23 Worksheet A'!$B$6,"Program","26","Activity","32","Object","7"),0)</f>
        <v>0</v>
      </c>
      <c r="AB95" s="209">
        <v>0</v>
      </c>
      <c r="AC95" s="195">
        <f t="shared" si="72"/>
        <v>0</v>
      </c>
      <c r="AD95" s="196">
        <f t="shared" si="73"/>
        <v>0</v>
      </c>
      <c r="AE95" s="189"/>
      <c r="AG95" s="281"/>
      <c r="AH95" s="194">
        <v>7</v>
      </c>
      <c r="AI95" s="195">
        <f>IFERROR(GETPIVOTDATA("Amount",'22-23 F195 ExpendPivot'!$A$5:$K$2119,"CCDDD",'2022-23 Worksheet A'!$B$6,"Program","29","Activity","32","Object","7"),0)</f>
        <v>0</v>
      </c>
      <c r="AJ95" s="209">
        <v>0</v>
      </c>
      <c r="AK95" s="195">
        <f t="shared" si="74"/>
        <v>0</v>
      </c>
      <c r="AL95" s="196">
        <f t="shared" si="75"/>
        <v>0</v>
      </c>
      <c r="AM95" s="189"/>
    </row>
    <row r="96" spans="1:39">
      <c r="A96" s="281"/>
      <c r="B96" s="194">
        <v>8</v>
      </c>
      <c r="C96" s="195">
        <f>IFERROR(GETPIVOTDATA("Amount",'22-23 F195 ExpendPivot'!$A$5:$K$2119,"CCDDD",'2022-23 Worksheet A'!$B$6,"Program","21","Activity","32","Object","8"),0)</f>
        <v>0</v>
      </c>
      <c r="D96" s="209">
        <v>0</v>
      </c>
      <c r="E96" s="195">
        <f t="shared" si="66"/>
        <v>0</v>
      </c>
      <c r="F96" s="196">
        <f t="shared" si="67"/>
        <v>0</v>
      </c>
      <c r="G96" s="189"/>
      <c r="I96" s="281"/>
      <c r="J96" s="194">
        <v>8</v>
      </c>
      <c r="K96" s="195">
        <f>IFERROR(GETPIVOTDATA("Amount",'22-23 F195 ExpendPivot'!$A$5:$K$2119,"CCDDD",'2022-23 Worksheet A'!$B$6,"Program","23","Activity","32","Object","8"),0)</f>
        <v>0</v>
      </c>
      <c r="L96" s="209">
        <v>0</v>
      </c>
      <c r="M96" s="195">
        <f t="shared" si="68"/>
        <v>0</v>
      </c>
      <c r="N96" s="196">
        <f t="shared" si="69"/>
        <v>0</v>
      </c>
      <c r="O96" s="189"/>
      <c r="Q96" s="281"/>
      <c r="R96" s="194">
        <v>8</v>
      </c>
      <c r="S96" s="195">
        <f>IFERROR(GETPIVOTDATA("Amount",'22-23 F195 ExpendPivot'!$A$5:$K$2119,"CCDDD",'2022-23 Worksheet A'!$B$6,"Program","24","Activity","32","Object","8"),0)</f>
        <v>0</v>
      </c>
      <c r="T96" s="209">
        <v>0</v>
      </c>
      <c r="U96" s="195">
        <f t="shared" si="70"/>
        <v>0</v>
      </c>
      <c r="V96" s="196">
        <f t="shared" si="71"/>
        <v>0</v>
      </c>
      <c r="W96" s="189"/>
      <c r="Y96" s="281"/>
      <c r="Z96" s="194">
        <v>8</v>
      </c>
      <c r="AA96" s="195">
        <f>IFERROR(GETPIVOTDATA("Amount",'22-23 F195 ExpendPivot'!$A$5:$K$2119,"CCDDD",'2022-23 Worksheet A'!$B$6,"Program","26","Activity","32","Object","8"),0)</f>
        <v>0</v>
      </c>
      <c r="AB96" s="209">
        <v>0</v>
      </c>
      <c r="AC96" s="195">
        <f t="shared" si="72"/>
        <v>0</v>
      </c>
      <c r="AD96" s="196">
        <f t="shared" si="73"/>
        <v>0</v>
      </c>
      <c r="AE96" s="189"/>
      <c r="AG96" s="281"/>
      <c r="AH96" s="194">
        <v>8</v>
      </c>
      <c r="AI96" s="195">
        <f>IFERROR(GETPIVOTDATA("Amount",'22-23 F195 ExpendPivot'!$A$5:$K$2119,"CCDDD",'2022-23 Worksheet A'!$B$6,"Program","29","Activity","32","Object","8"),0)</f>
        <v>0</v>
      </c>
      <c r="AJ96" s="209">
        <v>0</v>
      </c>
      <c r="AK96" s="195">
        <f t="shared" si="74"/>
        <v>0</v>
      </c>
      <c r="AL96" s="196">
        <f t="shared" si="75"/>
        <v>0</v>
      </c>
      <c r="AM96" s="189"/>
    </row>
    <row r="97" spans="1:39">
      <c r="A97" s="281"/>
      <c r="B97" s="194">
        <v>9</v>
      </c>
      <c r="C97" s="195">
        <f>IFERROR(GETPIVOTDATA("Amount",'22-23 F195 ExpendPivot'!$A$5:$K$2119,"CCDDD",'2022-23 Worksheet A'!$B$6,"Program","21","Activity","32","Object","9"),0)</f>
        <v>0</v>
      </c>
      <c r="D97" s="209">
        <v>0</v>
      </c>
      <c r="E97" s="195">
        <f t="shared" si="66"/>
        <v>0</v>
      </c>
      <c r="F97" s="196">
        <f t="shared" si="67"/>
        <v>0</v>
      </c>
      <c r="G97" s="189"/>
      <c r="I97" s="281"/>
      <c r="J97" s="194">
        <v>9</v>
      </c>
      <c r="K97" s="195">
        <f>IFERROR(GETPIVOTDATA("Amount",'22-23 F195 ExpendPivot'!$A$5:$K$2119,"CCDDD",'2022-23 Worksheet A'!$B$6,"Program","23","Activity","32","Object","9"),0)</f>
        <v>0</v>
      </c>
      <c r="L97" s="209">
        <v>0</v>
      </c>
      <c r="M97" s="195">
        <f t="shared" si="68"/>
        <v>0</v>
      </c>
      <c r="N97" s="196">
        <f t="shared" si="69"/>
        <v>0</v>
      </c>
      <c r="O97" s="189"/>
      <c r="Q97" s="281"/>
      <c r="R97" s="194">
        <v>9</v>
      </c>
      <c r="S97" s="195">
        <f>IFERROR(GETPIVOTDATA("Amount",'22-23 F195 ExpendPivot'!$A$5:$K$2119,"CCDDD",'2022-23 Worksheet A'!$B$6,"Program","24","Activity","32","Object","9"),0)</f>
        <v>0</v>
      </c>
      <c r="T97" s="209">
        <v>0</v>
      </c>
      <c r="U97" s="195">
        <f t="shared" si="70"/>
        <v>0</v>
      </c>
      <c r="V97" s="196">
        <f t="shared" si="71"/>
        <v>0</v>
      </c>
      <c r="W97" s="189"/>
      <c r="Y97" s="281"/>
      <c r="Z97" s="194">
        <v>9</v>
      </c>
      <c r="AA97" s="195">
        <f>IFERROR(GETPIVOTDATA("Amount",'22-23 F195 ExpendPivot'!$A$5:$K$2119,"CCDDD",'2022-23 Worksheet A'!$B$6,"Program","26","Activity","32","Object","9"),0)</f>
        <v>0</v>
      </c>
      <c r="AB97" s="209">
        <v>0</v>
      </c>
      <c r="AC97" s="195">
        <f t="shared" si="72"/>
        <v>0</v>
      </c>
      <c r="AD97" s="196">
        <f t="shared" si="73"/>
        <v>0</v>
      </c>
      <c r="AE97" s="189"/>
      <c r="AG97" s="281"/>
      <c r="AH97" s="194">
        <v>9</v>
      </c>
      <c r="AI97" s="195">
        <f>IFERROR(GETPIVOTDATA("Amount",'22-23 F195 ExpendPivot'!$A$5:$K$2119,"CCDDD",'2022-23 Worksheet A'!$B$6,"Program","29","Activity","32","Object","9"),0)</f>
        <v>0</v>
      </c>
      <c r="AJ97" s="209">
        <v>0</v>
      </c>
      <c r="AK97" s="195">
        <f t="shared" si="74"/>
        <v>0</v>
      </c>
      <c r="AL97" s="196">
        <f t="shared" si="75"/>
        <v>0</v>
      </c>
      <c r="AM97" s="189"/>
    </row>
    <row r="98" spans="1:39">
      <c r="A98" s="282"/>
      <c r="B98" s="210"/>
      <c r="C98" s="211">
        <f>SUM(C90:C97)</f>
        <v>0</v>
      </c>
      <c r="D98" s="211">
        <f>SUM(D90:D97)</f>
        <v>0</v>
      </c>
      <c r="E98" s="211">
        <f>SUM(E90:E97)</f>
        <v>0</v>
      </c>
      <c r="F98" s="212"/>
      <c r="G98" s="213"/>
      <c r="I98" s="282"/>
      <c r="J98" s="210"/>
      <c r="K98" s="211">
        <f>SUM(K90:K97)</f>
        <v>0</v>
      </c>
      <c r="L98" s="211">
        <f>SUM(L90:L97)</f>
        <v>0</v>
      </c>
      <c r="M98" s="211">
        <f>SUM(M90:M97)</f>
        <v>0</v>
      </c>
      <c r="N98" s="212"/>
      <c r="O98" s="213"/>
      <c r="Q98" s="282"/>
      <c r="R98" s="210"/>
      <c r="S98" s="211">
        <f>SUM(S90:S97)</f>
        <v>0</v>
      </c>
      <c r="T98" s="211">
        <f>SUM(T90:T97)</f>
        <v>0</v>
      </c>
      <c r="U98" s="211">
        <f>SUM(U90:U97)</f>
        <v>0</v>
      </c>
      <c r="V98" s="212"/>
      <c r="W98" s="213"/>
      <c r="Y98" s="282"/>
      <c r="Z98" s="210"/>
      <c r="AA98" s="211">
        <f>SUM(AA90:AA97)</f>
        <v>0</v>
      </c>
      <c r="AB98" s="211">
        <f>SUM(AB90:AB97)</f>
        <v>0</v>
      </c>
      <c r="AC98" s="211">
        <f>SUM(AC90:AC97)</f>
        <v>0</v>
      </c>
      <c r="AD98" s="212"/>
      <c r="AE98" s="213"/>
      <c r="AG98" s="282"/>
      <c r="AH98" s="210"/>
      <c r="AI98" s="211">
        <f>SUM(AI90:AI97)</f>
        <v>0</v>
      </c>
      <c r="AJ98" s="211">
        <f>SUM(AJ90:AJ97)</f>
        <v>0</v>
      </c>
      <c r="AK98" s="211">
        <f>SUM(AK90:AK97)</f>
        <v>0</v>
      </c>
      <c r="AL98" s="212"/>
      <c r="AM98" s="213"/>
    </row>
    <row r="99" spans="1:39">
      <c r="A99" s="280">
        <v>33</v>
      </c>
      <c r="B99" s="190">
        <v>0</v>
      </c>
      <c r="C99" s="191">
        <f>IFERROR(GETPIVOTDATA("Amount",'22-23 F195 ExpendPivot'!$A$5:$K$2119,"CCDDD",'2022-23 Worksheet A'!$B$6,"Program","21","Activity","33","Object","0"),0)</f>
        <v>0</v>
      </c>
      <c r="D99" s="208">
        <v>0</v>
      </c>
      <c r="E99" s="191">
        <f t="shared" ref="E99:E106" si="76">D99/$D$3*12</f>
        <v>0</v>
      </c>
      <c r="F99" s="196">
        <f t="shared" ref="F99:F106" si="77">IFERROR((E99-C99)/C99,0)</f>
        <v>0</v>
      </c>
      <c r="G99" s="193"/>
      <c r="I99" s="280">
        <v>33</v>
      </c>
      <c r="J99" s="190">
        <v>0</v>
      </c>
      <c r="K99" s="191">
        <f>IFERROR(GETPIVOTDATA("Amount",'22-23 F195 ExpendPivot'!$A$5:$K$2119,"CCDDD",'2022-23 Worksheet A'!$B$6,"Program","23","Activity","33","Object","0"),0)</f>
        <v>0</v>
      </c>
      <c r="L99" s="208">
        <v>0</v>
      </c>
      <c r="M99" s="191">
        <f t="shared" ref="M99:M106" si="78">L99/$D$3*12</f>
        <v>0</v>
      </c>
      <c r="N99" s="192">
        <f t="shared" ref="N99:N106" si="79">IFERROR((M99-K99)/K99,0)</f>
        <v>0</v>
      </c>
      <c r="O99" s="193"/>
      <c r="Q99" s="280">
        <v>33</v>
      </c>
      <c r="R99" s="190">
        <v>0</v>
      </c>
      <c r="S99" s="191">
        <f>IFERROR(GETPIVOTDATA("Amount",'22-23 F195 ExpendPivot'!$A$5:$K$2119,"CCDDD",'2022-23 Worksheet A'!$B$6,"Program","24","Activity","33","Object","0"),0)</f>
        <v>0</v>
      </c>
      <c r="T99" s="208">
        <v>0</v>
      </c>
      <c r="U99" s="191">
        <f t="shared" ref="U99:U106" si="80">T99/$D$3*12</f>
        <v>0</v>
      </c>
      <c r="V99" s="192">
        <f t="shared" ref="V99:V106" si="81">IFERROR((U99-S99)/S99,0)</f>
        <v>0</v>
      </c>
      <c r="W99" s="193"/>
      <c r="Y99" s="280">
        <v>33</v>
      </c>
      <c r="Z99" s="190">
        <v>0</v>
      </c>
      <c r="AA99" s="191">
        <f>IFERROR(GETPIVOTDATA("Amount",'22-23 F195 ExpendPivot'!$A$5:$K$2119,"CCDDD",'2022-23 Worksheet A'!$B$6,"Program","26","Activity","33","Object","0"),0)</f>
        <v>0</v>
      </c>
      <c r="AB99" s="208">
        <v>0</v>
      </c>
      <c r="AC99" s="191">
        <f t="shared" ref="AC99:AC106" si="82">AB99/$D$3*12</f>
        <v>0</v>
      </c>
      <c r="AD99" s="192">
        <f t="shared" ref="AD99:AD106" si="83">IFERROR((AC99-AA99)/AA99,0)</f>
        <v>0</v>
      </c>
      <c r="AE99" s="193"/>
      <c r="AG99" s="280">
        <v>33</v>
      </c>
      <c r="AH99" s="190">
        <v>0</v>
      </c>
      <c r="AI99" s="191">
        <f>IFERROR(GETPIVOTDATA("Amount",'22-23 F195 ExpendPivot'!$A$5:$K$2119,"CCDDD",'2022-23 Worksheet A'!$B$6,"Program","29","Activity","33","Object","0"),0)</f>
        <v>0</v>
      </c>
      <c r="AJ99" s="208">
        <v>0</v>
      </c>
      <c r="AK99" s="191">
        <f t="shared" ref="AK99:AK106" si="84">AJ99/$D$3*12</f>
        <v>0</v>
      </c>
      <c r="AL99" s="192">
        <f t="shared" ref="AL99:AL106" si="85">IFERROR((AK99-AI99)/AI99,0)</f>
        <v>0</v>
      </c>
      <c r="AM99" s="193"/>
    </row>
    <row r="100" spans="1:39">
      <c r="A100" s="281"/>
      <c r="B100" s="194">
        <v>2</v>
      </c>
      <c r="C100" s="195">
        <f>IFERROR(GETPIVOTDATA("Amount",'22-23 F195 ExpendPivot'!$A$5:$K$2119,"CCDDD",'2022-23 Worksheet A'!$B$6,"Program","21","Activity","33","Object","2"),0)</f>
        <v>0</v>
      </c>
      <c r="D100" s="209">
        <v>0</v>
      </c>
      <c r="E100" s="195">
        <f t="shared" si="76"/>
        <v>0</v>
      </c>
      <c r="F100" s="196">
        <f t="shared" si="77"/>
        <v>0</v>
      </c>
      <c r="G100" s="189"/>
      <c r="I100" s="281"/>
      <c r="J100" s="194">
        <v>2</v>
      </c>
      <c r="K100" s="195">
        <f>IFERROR(GETPIVOTDATA("Amount",'22-23 F195 ExpendPivot'!$A$5:$K$2119,"CCDDD",'2022-23 Worksheet A'!$B$6,"Program","23","Activity","33","Object","2"),0)</f>
        <v>0</v>
      </c>
      <c r="L100" s="209">
        <v>0</v>
      </c>
      <c r="M100" s="195">
        <f t="shared" si="78"/>
        <v>0</v>
      </c>
      <c r="N100" s="196">
        <f t="shared" si="79"/>
        <v>0</v>
      </c>
      <c r="O100" s="189"/>
      <c r="Q100" s="281"/>
      <c r="R100" s="194">
        <v>2</v>
      </c>
      <c r="S100" s="195">
        <f>IFERROR(GETPIVOTDATA("Amount",'22-23 F195 ExpendPivot'!$A$5:$K$2119,"CCDDD",'2022-23 Worksheet A'!$B$6,"Program","24","Activity","33","Object","2"),0)</f>
        <v>0</v>
      </c>
      <c r="T100" s="209">
        <v>0</v>
      </c>
      <c r="U100" s="195">
        <f t="shared" si="80"/>
        <v>0</v>
      </c>
      <c r="V100" s="196">
        <f t="shared" si="81"/>
        <v>0</v>
      </c>
      <c r="W100" s="189"/>
      <c r="Y100" s="281"/>
      <c r="Z100" s="194">
        <v>2</v>
      </c>
      <c r="AA100" s="195">
        <f>IFERROR(GETPIVOTDATA("Amount",'22-23 F195 ExpendPivot'!$A$5:$K$2119,"CCDDD",'2022-23 Worksheet A'!$B$6,"Program","26","Activity","33","Object","2"),0)</f>
        <v>0</v>
      </c>
      <c r="AB100" s="209">
        <v>0</v>
      </c>
      <c r="AC100" s="195">
        <f t="shared" si="82"/>
        <v>0</v>
      </c>
      <c r="AD100" s="196">
        <f t="shared" si="83"/>
        <v>0</v>
      </c>
      <c r="AE100" s="189"/>
      <c r="AG100" s="281"/>
      <c r="AH100" s="194">
        <v>2</v>
      </c>
      <c r="AI100" s="195">
        <f>IFERROR(GETPIVOTDATA("Amount",'22-23 F195 ExpendPivot'!$A$5:$K$2119,"CCDDD",'2022-23 Worksheet A'!$B$6,"Program","29","Activity","33","Object","2"),0)</f>
        <v>0</v>
      </c>
      <c r="AJ100" s="209">
        <v>0</v>
      </c>
      <c r="AK100" s="195">
        <f t="shared" si="84"/>
        <v>0</v>
      </c>
      <c r="AL100" s="196">
        <f t="shared" si="85"/>
        <v>0</v>
      </c>
      <c r="AM100" s="189"/>
    </row>
    <row r="101" spans="1:39">
      <c r="A101" s="281"/>
      <c r="B101" s="194">
        <v>3</v>
      </c>
      <c r="C101" s="195">
        <f>IFERROR(GETPIVOTDATA("Amount",'22-23 F195 ExpendPivot'!$A$5:$K$2119,"CCDDD",'2022-23 Worksheet A'!$B$6,"Program","21","Activity","33","Object","3"),0)</f>
        <v>0</v>
      </c>
      <c r="D101" s="209">
        <v>0</v>
      </c>
      <c r="E101" s="195">
        <f t="shared" si="76"/>
        <v>0</v>
      </c>
      <c r="F101" s="196">
        <f t="shared" si="77"/>
        <v>0</v>
      </c>
      <c r="G101" s="189"/>
      <c r="I101" s="281"/>
      <c r="J101" s="194">
        <v>3</v>
      </c>
      <c r="K101" s="195">
        <f>IFERROR(GETPIVOTDATA("Amount",'22-23 F195 ExpendPivot'!$A$5:$K$2119,"CCDDD",'2022-23 Worksheet A'!$B$6,"Program","23","Activity","33","Object","3"),0)</f>
        <v>0</v>
      </c>
      <c r="L101" s="209">
        <v>0</v>
      </c>
      <c r="M101" s="195">
        <f t="shared" si="78"/>
        <v>0</v>
      </c>
      <c r="N101" s="196">
        <f t="shared" si="79"/>
        <v>0</v>
      </c>
      <c r="O101" s="189"/>
      <c r="Q101" s="281"/>
      <c r="R101" s="194">
        <v>3</v>
      </c>
      <c r="S101" s="195">
        <f>IFERROR(GETPIVOTDATA("Amount",'22-23 F195 ExpendPivot'!$A$5:$K$2119,"CCDDD",'2022-23 Worksheet A'!$B$6,"Program","24","Activity","33","Object","3"),0)</f>
        <v>0</v>
      </c>
      <c r="T101" s="209">
        <v>0</v>
      </c>
      <c r="U101" s="195">
        <f t="shared" si="80"/>
        <v>0</v>
      </c>
      <c r="V101" s="196">
        <f t="shared" si="81"/>
        <v>0</v>
      </c>
      <c r="W101" s="189"/>
      <c r="Y101" s="281"/>
      <c r="Z101" s="194">
        <v>3</v>
      </c>
      <c r="AA101" s="195">
        <f>IFERROR(GETPIVOTDATA("Amount",'22-23 F195 ExpendPivot'!$A$5:$K$2119,"CCDDD",'2022-23 Worksheet A'!$B$6,"Program","26","Activity","33","Object","3"),0)</f>
        <v>0</v>
      </c>
      <c r="AB101" s="209">
        <v>0</v>
      </c>
      <c r="AC101" s="195">
        <f t="shared" si="82"/>
        <v>0</v>
      </c>
      <c r="AD101" s="196">
        <f t="shared" si="83"/>
        <v>0</v>
      </c>
      <c r="AE101" s="189"/>
      <c r="AG101" s="281"/>
      <c r="AH101" s="194">
        <v>3</v>
      </c>
      <c r="AI101" s="195">
        <f>IFERROR(GETPIVOTDATA("Amount",'22-23 F195 ExpendPivot'!$A$5:$K$2119,"CCDDD",'2022-23 Worksheet A'!$B$6,"Program","29","Activity","33","Object","3"),0)</f>
        <v>0</v>
      </c>
      <c r="AJ101" s="209">
        <v>0</v>
      </c>
      <c r="AK101" s="195">
        <f t="shared" si="84"/>
        <v>0</v>
      </c>
      <c r="AL101" s="196">
        <f t="shared" si="85"/>
        <v>0</v>
      </c>
      <c r="AM101" s="189"/>
    </row>
    <row r="102" spans="1:39">
      <c r="A102" s="281"/>
      <c r="B102" s="194">
        <v>4</v>
      </c>
      <c r="C102" s="195">
        <f>IFERROR(GETPIVOTDATA("Amount",'22-23 F195 ExpendPivot'!$A$5:$K$2119,"CCDDD",'2022-23 Worksheet A'!$B$6,"Program","21","Activity","33","Object","4"),0)</f>
        <v>0</v>
      </c>
      <c r="D102" s="209">
        <v>0</v>
      </c>
      <c r="E102" s="195">
        <f t="shared" si="76"/>
        <v>0</v>
      </c>
      <c r="F102" s="196">
        <f t="shared" si="77"/>
        <v>0</v>
      </c>
      <c r="G102" s="189"/>
      <c r="I102" s="281"/>
      <c r="J102" s="194">
        <v>4</v>
      </c>
      <c r="K102" s="195">
        <f>IFERROR(GETPIVOTDATA("Amount",'22-23 F195 ExpendPivot'!$A$5:$K$2119,"CCDDD",'2022-23 Worksheet A'!$B$6,"Program","23","Activity","33","Object","4"),0)</f>
        <v>0</v>
      </c>
      <c r="L102" s="209">
        <v>0</v>
      </c>
      <c r="M102" s="195">
        <f t="shared" si="78"/>
        <v>0</v>
      </c>
      <c r="N102" s="196">
        <f t="shared" si="79"/>
        <v>0</v>
      </c>
      <c r="O102" s="189"/>
      <c r="Q102" s="281"/>
      <c r="R102" s="194">
        <v>4</v>
      </c>
      <c r="S102" s="195">
        <f>IFERROR(GETPIVOTDATA("Amount",'22-23 F195 ExpendPivot'!$A$5:$K$2119,"CCDDD",'2022-23 Worksheet A'!$B$6,"Program","24","Activity","33","Object","4"),0)</f>
        <v>0</v>
      </c>
      <c r="T102" s="209">
        <v>0</v>
      </c>
      <c r="U102" s="195">
        <f t="shared" si="80"/>
        <v>0</v>
      </c>
      <c r="V102" s="196">
        <f t="shared" si="81"/>
        <v>0</v>
      </c>
      <c r="W102" s="189"/>
      <c r="Y102" s="281"/>
      <c r="Z102" s="194">
        <v>4</v>
      </c>
      <c r="AA102" s="195">
        <f>IFERROR(GETPIVOTDATA("Amount",'22-23 F195 ExpendPivot'!$A$5:$K$2119,"CCDDD",'2022-23 Worksheet A'!$B$6,"Program","26","Activity","33","Object","4"),0)</f>
        <v>0</v>
      </c>
      <c r="AB102" s="209">
        <v>0</v>
      </c>
      <c r="AC102" s="195">
        <f t="shared" si="82"/>
        <v>0</v>
      </c>
      <c r="AD102" s="196">
        <f t="shared" si="83"/>
        <v>0</v>
      </c>
      <c r="AE102" s="189"/>
      <c r="AG102" s="281"/>
      <c r="AH102" s="194">
        <v>4</v>
      </c>
      <c r="AI102" s="195">
        <f>IFERROR(GETPIVOTDATA("Amount",'22-23 F195 ExpendPivot'!$A$5:$K$2119,"CCDDD",'2022-23 Worksheet A'!$B$6,"Program","29","Activity","33","Object","4"),0)</f>
        <v>0</v>
      </c>
      <c r="AJ102" s="209">
        <v>0</v>
      </c>
      <c r="AK102" s="195">
        <f t="shared" si="84"/>
        <v>0</v>
      </c>
      <c r="AL102" s="196">
        <f t="shared" si="85"/>
        <v>0</v>
      </c>
      <c r="AM102" s="189"/>
    </row>
    <row r="103" spans="1:39">
      <c r="A103" s="281"/>
      <c r="B103" s="194">
        <v>5</v>
      </c>
      <c r="C103" s="195">
        <f>IFERROR(GETPIVOTDATA("Amount",'22-23 F195 ExpendPivot'!$A$5:$K$2119,"CCDDD",'2022-23 Worksheet A'!$B$6,"Program","21","Activity","33","Object","5"),0)</f>
        <v>0</v>
      </c>
      <c r="D103" s="209">
        <v>0</v>
      </c>
      <c r="E103" s="195">
        <f t="shared" si="76"/>
        <v>0</v>
      </c>
      <c r="F103" s="196">
        <f t="shared" si="77"/>
        <v>0</v>
      </c>
      <c r="G103" s="189"/>
      <c r="I103" s="281"/>
      <c r="J103" s="194">
        <v>5</v>
      </c>
      <c r="K103" s="195">
        <f>IFERROR(GETPIVOTDATA("Amount",'22-23 F195 ExpendPivot'!$A$5:$K$2119,"CCDDD",'2022-23 Worksheet A'!$B$6,"Program","23","Activity","33","Object","5"),0)</f>
        <v>0</v>
      </c>
      <c r="L103" s="209">
        <v>0</v>
      </c>
      <c r="M103" s="195">
        <f t="shared" si="78"/>
        <v>0</v>
      </c>
      <c r="N103" s="196">
        <f t="shared" si="79"/>
        <v>0</v>
      </c>
      <c r="O103" s="189"/>
      <c r="Q103" s="281"/>
      <c r="R103" s="194">
        <v>5</v>
      </c>
      <c r="S103" s="195">
        <f>IFERROR(GETPIVOTDATA("Amount",'22-23 F195 ExpendPivot'!$A$5:$K$2119,"CCDDD",'2022-23 Worksheet A'!$B$6,"Program","24","Activity","33","Object","5"),0)</f>
        <v>0</v>
      </c>
      <c r="T103" s="209">
        <v>0</v>
      </c>
      <c r="U103" s="195">
        <f t="shared" si="80"/>
        <v>0</v>
      </c>
      <c r="V103" s="196">
        <f t="shared" si="81"/>
        <v>0</v>
      </c>
      <c r="W103" s="189"/>
      <c r="Y103" s="281"/>
      <c r="Z103" s="194">
        <v>5</v>
      </c>
      <c r="AA103" s="195">
        <f>IFERROR(GETPIVOTDATA("Amount",'22-23 F195 ExpendPivot'!$A$5:$K$2119,"CCDDD",'2022-23 Worksheet A'!$B$6,"Program","26","Activity","33","Object","5"),0)</f>
        <v>0</v>
      </c>
      <c r="AB103" s="209">
        <v>0</v>
      </c>
      <c r="AC103" s="195">
        <f t="shared" si="82"/>
        <v>0</v>
      </c>
      <c r="AD103" s="196">
        <f t="shared" si="83"/>
        <v>0</v>
      </c>
      <c r="AE103" s="189"/>
      <c r="AG103" s="281"/>
      <c r="AH103" s="194">
        <v>5</v>
      </c>
      <c r="AI103" s="195">
        <f>IFERROR(GETPIVOTDATA("Amount",'22-23 F195 ExpendPivot'!$A$5:$K$2119,"CCDDD",'2022-23 Worksheet A'!$B$6,"Program","29","Activity","33","Object","5"),0)</f>
        <v>0</v>
      </c>
      <c r="AJ103" s="209">
        <v>0</v>
      </c>
      <c r="AK103" s="195">
        <f t="shared" si="84"/>
        <v>0</v>
      </c>
      <c r="AL103" s="196">
        <f t="shared" si="85"/>
        <v>0</v>
      </c>
      <c r="AM103" s="189"/>
    </row>
    <row r="104" spans="1:39">
      <c r="A104" s="281"/>
      <c r="B104" s="194">
        <v>7</v>
      </c>
      <c r="C104" s="195">
        <f>IFERROR(GETPIVOTDATA("Amount",'22-23 F195 ExpendPivot'!$A$5:$K$2119,"CCDDD",'2022-23 Worksheet A'!$B$6,"Program","21","Activity","33","Object","7"),0)</f>
        <v>0</v>
      </c>
      <c r="D104" s="209">
        <v>0</v>
      </c>
      <c r="E104" s="195">
        <f t="shared" si="76"/>
        <v>0</v>
      </c>
      <c r="F104" s="196">
        <f t="shared" si="77"/>
        <v>0</v>
      </c>
      <c r="G104" s="189"/>
      <c r="I104" s="281"/>
      <c r="J104" s="194">
        <v>7</v>
      </c>
      <c r="K104" s="195">
        <f>IFERROR(GETPIVOTDATA("Amount",'22-23 F195 ExpendPivot'!$A$5:$K$2119,"CCDDD",'2022-23 Worksheet A'!$B$6,"Program","23","Activity","33","Object","7"),0)</f>
        <v>0</v>
      </c>
      <c r="L104" s="209">
        <v>0</v>
      </c>
      <c r="M104" s="195">
        <f t="shared" si="78"/>
        <v>0</v>
      </c>
      <c r="N104" s="196">
        <f t="shared" si="79"/>
        <v>0</v>
      </c>
      <c r="O104" s="189"/>
      <c r="Q104" s="281"/>
      <c r="R104" s="194">
        <v>7</v>
      </c>
      <c r="S104" s="195">
        <f>IFERROR(GETPIVOTDATA("Amount",'22-23 F195 ExpendPivot'!$A$5:$K$2119,"CCDDD",'2022-23 Worksheet A'!$B$6,"Program","24","Activity","33","Object","7"),0)</f>
        <v>0</v>
      </c>
      <c r="T104" s="209">
        <v>0</v>
      </c>
      <c r="U104" s="195">
        <f t="shared" si="80"/>
        <v>0</v>
      </c>
      <c r="V104" s="196">
        <f t="shared" si="81"/>
        <v>0</v>
      </c>
      <c r="W104" s="189"/>
      <c r="Y104" s="281"/>
      <c r="Z104" s="194">
        <v>7</v>
      </c>
      <c r="AA104" s="195">
        <f>IFERROR(GETPIVOTDATA("Amount",'22-23 F195 ExpendPivot'!$A$5:$K$2119,"CCDDD",'2022-23 Worksheet A'!$B$6,"Program","26","Activity","33","Object","7"),0)</f>
        <v>0</v>
      </c>
      <c r="AB104" s="209">
        <v>0</v>
      </c>
      <c r="AC104" s="195">
        <f t="shared" si="82"/>
        <v>0</v>
      </c>
      <c r="AD104" s="196">
        <f t="shared" si="83"/>
        <v>0</v>
      </c>
      <c r="AE104" s="189"/>
      <c r="AG104" s="281"/>
      <c r="AH104" s="194">
        <v>7</v>
      </c>
      <c r="AI104" s="195">
        <f>IFERROR(GETPIVOTDATA("Amount",'22-23 F195 ExpendPivot'!$A$5:$K$2119,"CCDDD",'2022-23 Worksheet A'!$B$6,"Program","29","Activity","33","Object","7"),0)</f>
        <v>0</v>
      </c>
      <c r="AJ104" s="209">
        <v>0</v>
      </c>
      <c r="AK104" s="195">
        <f t="shared" si="84"/>
        <v>0</v>
      </c>
      <c r="AL104" s="196">
        <f t="shared" si="85"/>
        <v>0</v>
      </c>
      <c r="AM104" s="189"/>
    </row>
    <row r="105" spans="1:39">
      <c r="A105" s="281"/>
      <c r="B105" s="194">
        <v>8</v>
      </c>
      <c r="C105" s="195">
        <f>IFERROR(GETPIVOTDATA("Amount",'22-23 F195 ExpendPivot'!$A$5:$K$2119,"CCDDD",'2022-23 Worksheet A'!$B$6,"Program","21","Activity","33","Object","8"),0)</f>
        <v>0</v>
      </c>
      <c r="D105" s="209">
        <v>0</v>
      </c>
      <c r="E105" s="195">
        <f t="shared" si="76"/>
        <v>0</v>
      </c>
      <c r="F105" s="196">
        <f t="shared" si="77"/>
        <v>0</v>
      </c>
      <c r="G105" s="189"/>
      <c r="I105" s="281"/>
      <c r="J105" s="194">
        <v>8</v>
      </c>
      <c r="K105" s="195">
        <f>IFERROR(GETPIVOTDATA("Amount",'22-23 F195 ExpendPivot'!$A$5:$K$2119,"CCDDD",'2022-23 Worksheet A'!$B$6,"Program","23","Activity","33","Object","8"),0)</f>
        <v>0</v>
      </c>
      <c r="L105" s="209">
        <v>0</v>
      </c>
      <c r="M105" s="195">
        <f t="shared" si="78"/>
        <v>0</v>
      </c>
      <c r="N105" s="196">
        <f t="shared" si="79"/>
        <v>0</v>
      </c>
      <c r="O105" s="189"/>
      <c r="Q105" s="281"/>
      <c r="R105" s="194">
        <v>8</v>
      </c>
      <c r="S105" s="195">
        <f>IFERROR(GETPIVOTDATA("Amount",'22-23 F195 ExpendPivot'!$A$5:$K$2119,"CCDDD",'2022-23 Worksheet A'!$B$6,"Program","24","Activity","33","Object","8"),0)</f>
        <v>0</v>
      </c>
      <c r="T105" s="209">
        <v>0</v>
      </c>
      <c r="U105" s="195">
        <f t="shared" si="80"/>
        <v>0</v>
      </c>
      <c r="V105" s="196">
        <f t="shared" si="81"/>
        <v>0</v>
      </c>
      <c r="W105" s="189"/>
      <c r="Y105" s="281"/>
      <c r="Z105" s="194">
        <v>8</v>
      </c>
      <c r="AA105" s="195">
        <f>IFERROR(GETPIVOTDATA("Amount",'22-23 F195 ExpendPivot'!$A$5:$K$2119,"CCDDD",'2022-23 Worksheet A'!$B$6,"Program","26","Activity","33","Object","8"),0)</f>
        <v>0</v>
      </c>
      <c r="AB105" s="209">
        <v>0</v>
      </c>
      <c r="AC105" s="195">
        <f t="shared" si="82"/>
        <v>0</v>
      </c>
      <c r="AD105" s="196">
        <f t="shared" si="83"/>
        <v>0</v>
      </c>
      <c r="AE105" s="189"/>
      <c r="AG105" s="281"/>
      <c r="AH105" s="194">
        <v>8</v>
      </c>
      <c r="AI105" s="195">
        <f>IFERROR(GETPIVOTDATA("Amount",'22-23 F195 ExpendPivot'!$A$5:$K$2119,"CCDDD",'2022-23 Worksheet A'!$B$6,"Program","29","Activity","33","Object","8"),0)</f>
        <v>0</v>
      </c>
      <c r="AJ105" s="209">
        <v>0</v>
      </c>
      <c r="AK105" s="195">
        <f t="shared" si="84"/>
        <v>0</v>
      </c>
      <c r="AL105" s="196">
        <f t="shared" si="85"/>
        <v>0</v>
      </c>
      <c r="AM105" s="189"/>
    </row>
    <row r="106" spans="1:39">
      <c r="A106" s="281"/>
      <c r="B106" s="194">
        <v>9</v>
      </c>
      <c r="C106" s="195">
        <f>IFERROR(GETPIVOTDATA("Amount",'22-23 F195 ExpendPivot'!$A$5:$K$2119,"CCDDD",'2022-23 Worksheet A'!$B$6,"Program","21","Activity","33","Object","9"),0)</f>
        <v>0</v>
      </c>
      <c r="D106" s="209">
        <v>0</v>
      </c>
      <c r="E106" s="195">
        <f t="shared" si="76"/>
        <v>0</v>
      </c>
      <c r="F106" s="196">
        <f t="shared" si="77"/>
        <v>0</v>
      </c>
      <c r="G106" s="189"/>
      <c r="I106" s="281"/>
      <c r="J106" s="194">
        <v>9</v>
      </c>
      <c r="K106" s="195">
        <f>IFERROR(GETPIVOTDATA("Amount",'22-23 F195 ExpendPivot'!$A$5:$K$2119,"CCDDD",'2022-23 Worksheet A'!$B$6,"Program","23","Activity","33","Object","9"),0)</f>
        <v>0</v>
      </c>
      <c r="L106" s="209">
        <v>0</v>
      </c>
      <c r="M106" s="195">
        <f t="shared" si="78"/>
        <v>0</v>
      </c>
      <c r="N106" s="196">
        <f t="shared" si="79"/>
        <v>0</v>
      </c>
      <c r="O106" s="189"/>
      <c r="Q106" s="281"/>
      <c r="R106" s="194">
        <v>9</v>
      </c>
      <c r="S106" s="195">
        <f>IFERROR(GETPIVOTDATA("Amount",'22-23 F195 ExpendPivot'!$A$5:$K$2119,"CCDDD",'2022-23 Worksheet A'!$B$6,"Program","24","Activity","33","Object","9"),0)</f>
        <v>0</v>
      </c>
      <c r="T106" s="209">
        <v>0</v>
      </c>
      <c r="U106" s="195">
        <f t="shared" si="80"/>
        <v>0</v>
      </c>
      <c r="V106" s="196">
        <f t="shared" si="81"/>
        <v>0</v>
      </c>
      <c r="W106" s="189"/>
      <c r="Y106" s="281"/>
      <c r="Z106" s="194">
        <v>9</v>
      </c>
      <c r="AA106" s="195">
        <f>IFERROR(GETPIVOTDATA("Amount",'22-23 F195 ExpendPivot'!$A$5:$K$2119,"CCDDD",'2022-23 Worksheet A'!$B$6,"Program","26","Activity","33","Object","9"),0)</f>
        <v>0</v>
      </c>
      <c r="AB106" s="209">
        <v>0</v>
      </c>
      <c r="AC106" s="195">
        <f t="shared" si="82"/>
        <v>0</v>
      </c>
      <c r="AD106" s="196">
        <f t="shared" si="83"/>
        <v>0</v>
      </c>
      <c r="AE106" s="189"/>
      <c r="AG106" s="281"/>
      <c r="AH106" s="194">
        <v>9</v>
      </c>
      <c r="AI106" s="195">
        <f>IFERROR(GETPIVOTDATA("Amount",'22-23 F195 ExpendPivot'!$A$5:$K$2119,"CCDDD",'2022-23 Worksheet A'!$B$6,"Program","29","Activity","33","Object","9"),0)</f>
        <v>0</v>
      </c>
      <c r="AJ106" s="209">
        <v>0</v>
      </c>
      <c r="AK106" s="195">
        <f t="shared" si="84"/>
        <v>0</v>
      </c>
      <c r="AL106" s="196">
        <f t="shared" si="85"/>
        <v>0</v>
      </c>
      <c r="AM106" s="189"/>
    </row>
    <row r="107" spans="1:39">
      <c r="A107" s="282"/>
      <c r="B107" s="210"/>
      <c r="C107" s="211">
        <f>SUM(C99:C106)</f>
        <v>0</v>
      </c>
      <c r="D107" s="211">
        <f>SUM(D99:D106)</f>
        <v>0</v>
      </c>
      <c r="E107" s="211">
        <f>SUM(E99:E106)</f>
        <v>0</v>
      </c>
      <c r="F107" s="212"/>
      <c r="G107" s="213"/>
      <c r="I107" s="282"/>
      <c r="J107" s="210"/>
      <c r="K107" s="211">
        <f>SUM(K99:K106)</f>
        <v>0</v>
      </c>
      <c r="L107" s="211">
        <f>SUM(L99:L106)</f>
        <v>0</v>
      </c>
      <c r="M107" s="211">
        <f>SUM(M99:M106)</f>
        <v>0</v>
      </c>
      <c r="N107" s="212"/>
      <c r="O107" s="213"/>
      <c r="Q107" s="282"/>
      <c r="R107" s="210"/>
      <c r="S107" s="211">
        <f>SUM(S99:S106)</f>
        <v>0</v>
      </c>
      <c r="T107" s="211">
        <f>SUM(T99:T106)</f>
        <v>0</v>
      </c>
      <c r="U107" s="211">
        <f>SUM(U99:U106)</f>
        <v>0</v>
      </c>
      <c r="V107" s="212"/>
      <c r="W107" s="213"/>
      <c r="Y107" s="282"/>
      <c r="Z107" s="210"/>
      <c r="AA107" s="211">
        <f>SUM(AA99:AA106)</f>
        <v>0</v>
      </c>
      <c r="AB107" s="211">
        <f>SUM(AB99:AB106)</f>
        <v>0</v>
      </c>
      <c r="AC107" s="211">
        <f>SUM(AC99:AC106)</f>
        <v>0</v>
      </c>
      <c r="AD107" s="212"/>
      <c r="AE107" s="213"/>
      <c r="AG107" s="282"/>
      <c r="AH107" s="210"/>
      <c r="AI107" s="211">
        <f>SUM(AI99:AI106)</f>
        <v>0</v>
      </c>
      <c r="AJ107" s="211">
        <f>SUM(AJ99:AJ106)</f>
        <v>0</v>
      </c>
      <c r="AK107" s="211">
        <f>SUM(AK99:AK106)</f>
        <v>0</v>
      </c>
      <c r="AL107" s="212"/>
      <c r="AM107" s="213"/>
    </row>
    <row r="108" spans="1:39">
      <c r="A108" s="280">
        <v>34</v>
      </c>
      <c r="B108" s="190">
        <v>0</v>
      </c>
      <c r="C108" s="191">
        <f>IFERROR(GETPIVOTDATA("Amount",'22-23 F195 ExpendPivot'!$A$5:$K$2119,"CCDDD",'2022-23 Worksheet A'!$B$6,"Program","21","Activity","34","Object","0"),0)</f>
        <v>0</v>
      </c>
      <c r="D108" s="208">
        <v>0</v>
      </c>
      <c r="E108" s="191">
        <f t="shared" ref="E108:E115" si="86">D108/$D$3*12</f>
        <v>0</v>
      </c>
      <c r="F108" s="196">
        <f t="shared" ref="F108:F115" si="87">IFERROR((E108-C108)/C108,0)</f>
        <v>0</v>
      </c>
      <c r="G108" s="193"/>
      <c r="I108" s="280">
        <v>34</v>
      </c>
      <c r="J108" s="190">
        <v>0</v>
      </c>
      <c r="K108" s="191">
        <f>IFERROR(GETPIVOTDATA("Amount",'22-23 F195 ExpendPivot'!$A$5:$K$2119,"CCDDD",'2022-23 Worksheet A'!$B$6,"Program","23","Activity","34","Object","0"),0)</f>
        <v>0</v>
      </c>
      <c r="L108" s="208">
        <v>0</v>
      </c>
      <c r="M108" s="191">
        <f t="shared" ref="M108:M115" si="88">L108/$D$3*12</f>
        <v>0</v>
      </c>
      <c r="N108" s="192">
        <f t="shared" ref="N108:N115" si="89">IFERROR((M108-K108)/K108,0)</f>
        <v>0</v>
      </c>
      <c r="O108" s="193"/>
      <c r="Q108" s="280">
        <v>34</v>
      </c>
      <c r="R108" s="190">
        <v>0</v>
      </c>
      <c r="S108" s="191">
        <f>IFERROR(GETPIVOTDATA("Amount",'22-23 F195 ExpendPivot'!$A$5:$K$2119,"CCDDD",'2022-23 Worksheet A'!$B$6,"Program","24","Activity","34","Object","0"),0)</f>
        <v>0</v>
      </c>
      <c r="T108" s="208">
        <v>0</v>
      </c>
      <c r="U108" s="191">
        <f t="shared" ref="U108:U115" si="90">T108/$D$3*12</f>
        <v>0</v>
      </c>
      <c r="V108" s="192">
        <f t="shared" ref="V108:V115" si="91">IFERROR((U108-S108)/S108,0)</f>
        <v>0</v>
      </c>
      <c r="W108" s="193"/>
      <c r="Y108" s="280">
        <v>34</v>
      </c>
      <c r="Z108" s="190">
        <v>0</v>
      </c>
      <c r="AA108" s="191">
        <f>IFERROR(GETPIVOTDATA("Amount",'22-23 F195 ExpendPivot'!$A$5:$K$2119,"CCDDD",'2022-23 Worksheet A'!$B$6,"Program","26","Activity","34","Object","0"),0)</f>
        <v>0</v>
      </c>
      <c r="AB108" s="208">
        <v>0</v>
      </c>
      <c r="AC108" s="191">
        <f t="shared" ref="AC108:AC115" si="92">AB108/$D$3*12</f>
        <v>0</v>
      </c>
      <c r="AD108" s="192">
        <f t="shared" ref="AD108:AD115" si="93">IFERROR((AC108-AA108)/AA108,0)</f>
        <v>0</v>
      </c>
      <c r="AE108" s="193"/>
      <c r="AG108" s="280">
        <v>34</v>
      </c>
      <c r="AH108" s="190">
        <v>0</v>
      </c>
      <c r="AI108" s="191">
        <f>IFERROR(GETPIVOTDATA("Amount",'22-23 F195 ExpendPivot'!$A$5:$K$2119,"CCDDD",'2022-23 Worksheet A'!$B$6,"Program","29","Activity","34","Object","0"),0)</f>
        <v>0</v>
      </c>
      <c r="AJ108" s="208">
        <v>0</v>
      </c>
      <c r="AK108" s="191">
        <f t="shared" ref="AK108:AK115" si="94">AJ108/$D$3*12</f>
        <v>0</v>
      </c>
      <c r="AL108" s="192">
        <f t="shared" ref="AL108:AL115" si="95">IFERROR((AK108-AI108)/AI108,0)</f>
        <v>0</v>
      </c>
      <c r="AM108" s="193"/>
    </row>
    <row r="109" spans="1:39">
      <c r="A109" s="281"/>
      <c r="B109" s="194">
        <v>2</v>
      </c>
      <c r="C109" s="195">
        <f>IFERROR(GETPIVOTDATA("Amount",'22-23 F195 ExpendPivot'!$A$5:$K$2119,"CCDDD",'2022-23 Worksheet A'!$B$6,"Program","21","Activity","34","Object","2"),0)</f>
        <v>0</v>
      </c>
      <c r="D109" s="209">
        <v>0</v>
      </c>
      <c r="E109" s="195">
        <f t="shared" si="86"/>
        <v>0</v>
      </c>
      <c r="F109" s="196">
        <f t="shared" si="87"/>
        <v>0</v>
      </c>
      <c r="G109" s="189"/>
      <c r="I109" s="281"/>
      <c r="J109" s="194">
        <v>2</v>
      </c>
      <c r="K109" s="195">
        <f>IFERROR(GETPIVOTDATA("Amount",'22-23 F195 ExpendPivot'!$A$5:$K$2119,"CCDDD",'2022-23 Worksheet A'!$B$6,"Program","23","Activity","34","Object","2"),0)</f>
        <v>0</v>
      </c>
      <c r="L109" s="209">
        <v>0</v>
      </c>
      <c r="M109" s="195">
        <f t="shared" si="88"/>
        <v>0</v>
      </c>
      <c r="N109" s="196">
        <f t="shared" si="89"/>
        <v>0</v>
      </c>
      <c r="O109" s="189"/>
      <c r="Q109" s="281"/>
      <c r="R109" s="194">
        <v>2</v>
      </c>
      <c r="S109" s="195">
        <f>IFERROR(GETPIVOTDATA("Amount",'22-23 F195 ExpendPivot'!$A$5:$K$2119,"CCDDD",'2022-23 Worksheet A'!$B$6,"Program","24","Activity","34","Object","2"),0)</f>
        <v>0</v>
      </c>
      <c r="T109" s="209">
        <v>0</v>
      </c>
      <c r="U109" s="195">
        <f t="shared" si="90"/>
        <v>0</v>
      </c>
      <c r="V109" s="196">
        <f t="shared" si="91"/>
        <v>0</v>
      </c>
      <c r="W109" s="189"/>
      <c r="Y109" s="281"/>
      <c r="Z109" s="194">
        <v>2</v>
      </c>
      <c r="AA109" s="195">
        <f>IFERROR(GETPIVOTDATA("Amount",'22-23 F195 ExpendPivot'!$A$5:$K$2119,"CCDDD",'2022-23 Worksheet A'!$B$6,"Program","26","Activity","34","Object","2"),0)</f>
        <v>0</v>
      </c>
      <c r="AB109" s="209">
        <v>0</v>
      </c>
      <c r="AC109" s="195">
        <f t="shared" si="92"/>
        <v>0</v>
      </c>
      <c r="AD109" s="196">
        <f t="shared" si="93"/>
        <v>0</v>
      </c>
      <c r="AE109" s="189"/>
      <c r="AG109" s="281"/>
      <c r="AH109" s="194">
        <v>2</v>
      </c>
      <c r="AI109" s="195">
        <f>IFERROR(GETPIVOTDATA("Amount",'22-23 F195 ExpendPivot'!$A$5:$K$2119,"CCDDD",'2022-23 Worksheet A'!$B$6,"Program","29","Activity","34","Object","2"),0)</f>
        <v>0</v>
      </c>
      <c r="AJ109" s="209">
        <v>0</v>
      </c>
      <c r="AK109" s="195">
        <f t="shared" si="94"/>
        <v>0</v>
      </c>
      <c r="AL109" s="196">
        <f t="shared" si="95"/>
        <v>0</v>
      </c>
      <c r="AM109" s="189"/>
    </row>
    <row r="110" spans="1:39">
      <c r="A110" s="281"/>
      <c r="B110" s="194">
        <v>3</v>
      </c>
      <c r="C110" s="195">
        <f>IFERROR(GETPIVOTDATA("Amount",'22-23 F195 ExpendPivot'!$A$5:$K$2119,"CCDDD",'2022-23 Worksheet A'!$B$6,"Program","21","Activity","34","Object","3"),0)</f>
        <v>0</v>
      </c>
      <c r="D110" s="209">
        <v>0</v>
      </c>
      <c r="E110" s="195">
        <f t="shared" si="86"/>
        <v>0</v>
      </c>
      <c r="F110" s="196">
        <f t="shared" si="87"/>
        <v>0</v>
      </c>
      <c r="G110" s="189"/>
      <c r="I110" s="281"/>
      <c r="J110" s="194">
        <v>3</v>
      </c>
      <c r="K110" s="195">
        <f>IFERROR(GETPIVOTDATA("Amount",'22-23 F195 ExpendPivot'!$A$5:$K$2119,"CCDDD",'2022-23 Worksheet A'!$B$6,"Program","23","Activity","34","Object","3"),0)</f>
        <v>0</v>
      </c>
      <c r="L110" s="209">
        <v>0</v>
      </c>
      <c r="M110" s="195">
        <f t="shared" si="88"/>
        <v>0</v>
      </c>
      <c r="N110" s="196">
        <f t="shared" si="89"/>
        <v>0</v>
      </c>
      <c r="O110" s="189"/>
      <c r="Q110" s="281"/>
      <c r="R110" s="194">
        <v>3</v>
      </c>
      <c r="S110" s="195">
        <f>IFERROR(GETPIVOTDATA("Amount",'22-23 F195 ExpendPivot'!$A$5:$K$2119,"CCDDD",'2022-23 Worksheet A'!$B$6,"Program","24","Activity","34","Object","3"),0)</f>
        <v>0</v>
      </c>
      <c r="T110" s="209">
        <v>0</v>
      </c>
      <c r="U110" s="195">
        <f t="shared" si="90"/>
        <v>0</v>
      </c>
      <c r="V110" s="196">
        <f t="shared" si="91"/>
        <v>0</v>
      </c>
      <c r="W110" s="189"/>
      <c r="Y110" s="281"/>
      <c r="Z110" s="194">
        <v>3</v>
      </c>
      <c r="AA110" s="195">
        <f>IFERROR(GETPIVOTDATA("Amount",'22-23 F195 ExpendPivot'!$A$5:$K$2119,"CCDDD",'2022-23 Worksheet A'!$B$6,"Program","26","Activity","34","Object","3"),0)</f>
        <v>0</v>
      </c>
      <c r="AB110" s="209">
        <v>0</v>
      </c>
      <c r="AC110" s="195">
        <f t="shared" si="92"/>
        <v>0</v>
      </c>
      <c r="AD110" s="196">
        <f t="shared" si="93"/>
        <v>0</v>
      </c>
      <c r="AE110" s="189"/>
      <c r="AG110" s="281"/>
      <c r="AH110" s="194">
        <v>3</v>
      </c>
      <c r="AI110" s="195">
        <f>IFERROR(GETPIVOTDATA("Amount",'22-23 F195 ExpendPivot'!$A$5:$K$2119,"CCDDD",'2022-23 Worksheet A'!$B$6,"Program","29","Activity","34","Object","3"),0)</f>
        <v>0</v>
      </c>
      <c r="AJ110" s="209">
        <v>0</v>
      </c>
      <c r="AK110" s="195">
        <f t="shared" si="94"/>
        <v>0</v>
      </c>
      <c r="AL110" s="196">
        <f t="shared" si="95"/>
        <v>0</v>
      </c>
      <c r="AM110" s="189"/>
    </row>
    <row r="111" spans="1:39">
      <c r="A111" s="281"/>
      <c r="B111" s="194">
        <v>4</v>
      </c>
      <c r="C111" s="195">
        <f>IFERROR(GETPIVOTDATA("Amount",'22-23 F195 ExpendPivot'!$A$5:$K$2119,"CCDDD",'2022-23 Worksheet A'!$B$6,"Program","21","Activity","34","Object","4"),0)</f>
        <v>0</v>
      </c>
      <c r="D111" s="209">
        <v>0</v>
      </c>
      <c r="E111" s="195">
        <f t="shared" si="86"/>
        <v>0</v>
      </c>
      <c r="F111" s="196">
        <f t="shared" si="87"/>
        <v>0</v>
      </c>
      <c r="G111" s="189"/>
      <c r="I111" s="281"/>
      <c r="J111" s="194">
        <v>4</v>
      </c>
      <c r="K111" s="195">
        <f>IFERROR(GETPIVOTDATA("Amount",'22-23 F195 ExpendPivot'!$A$5:$K$2119,"CCDDD",'2022-23 Worksheet A'!$B$6,"Program","23","Activity","34","Object","4"),0)</f>
        <v>0</v>
      </c>
      <c r="L111" s="209">
        <v>0</v>
      </c>
      <c r="M111" s="195">
        <f t="shared" si="88"/>
        <v>0</v>
      </c>
      <c r="N111" s="196">
        <f t="shared" si="89"/>
        <v>0</v>
      </c>
      <c r="O111" s="189"/>
      <c r="Q111" s="281"/>
      <c r="R111" s="194">
        <v>4</v>
      </c>
      <c r="S111" s="195">
        <f>IFERROR(GETPIVOTDATA("Amount",'22-23 F195 ExpendPivot'!$A$5:$K$2119,"CCDDD",'2022-23 Worksheet A'!$B$6,"Program","24","Activity","34","Object","4"),0)</f>
        <v>0</v>
      </c>
      <c r="T111" s="209">
        <v>0</v>
      </c>
      <c r="U111" s="195">
        <f t="shared" si="90"/>
        <v>0</v>
      </c>
      <c r="V111" s="196">
        <f t="shared" si="91"/>
        <v>0</v>
      </c>
      <c r="W111" s="189"/>
      <c r="Y111" s="281"/>
      <c r="Z111" s="194">
        <v>4</v>
      </c>
      <c r="AA111" s="195">
        <f>IFERROR(GETPIVOTDATA("Amount",'22-23 F195 ExpendPivot'!$A$5:$K$2119,"CCDDD",'2022-23 Worksheet A'!$B$6,"Program","26","Activity","34","Object","4"),0)</f>
        <v>0</v>
      </c>
      <c r="AB111" s="209">
        <v>0</v>
      </c>
      <c r="AC111" s="195">
        <f t="shared" si="92"/>
        <v>0</v>
      </c>
      <c r="AD111" s="196">
        <f t="shared" si="93"/>
        <v>0</v>
      </c>
      <c r="AE111" s="189"/>
      <c r="AG111" s="281"/>
      <c r="AH111" s="194">
        <v>4</v>
      </c>
      <c r="AI111" s="195">
        <f>IFERROR(GETPIVOTDATA("Amount",'22-23 F195 ExpendPivot'!$A$5:$K$2119,"CCDDD",'2022-23 Worksheet A'!$B$6,"Program","29","Activity","34","Object","4"),0)</f>
        <v>0</v>
      </c>
      <c r="AJ111" s="209">
        <v>0</v>
      </c>
      <c r="AK111" s="195">
        <f t="shared" si="94"/>
        <v>0</v>
      </c>
      <c r="AL111" s="196">
        <f t="shared" si="95"/>
        <v>0</v>
      </c>
      <c r="AM111" s="189"/>
    </row>
    <row r="112" spans="1:39">
      <c r="A112" s="281"/>
      <c r="B112" s="194">
        <v>5</v>
      </c>
      <c r="C112" s="195">
        <f>IFERROR(GETPIVOTDATA("Amount",'22-23 F195 ExpendPivot'!$A$5:$K$2119,"CCDDD",'2022-23 Worksheet A'!$B$6,"Program","21","Activity","34","Object","5"),0)</f>
        <v>0</v>
      </c>
      <c r="D112" s="209">
        <v>0</v>
      </c>
      <c r="E112" s="195">
        <f t="shared" si="86"/>
        <v>0</v>
      </c>
      <c r="F112" s="196">
        <f t="shared" si="87"/>
        <v>0</v>
      </c>
      <c r="G112" s="189"/>
      <c r="I112" s="281"/>
      <c r="J112" s="194">
        <v>5</v>
      </c>
      <c r="K112" s="195">
        <f>IFERROR(GETPIVOTDATA("Amount",'22-23 F195 ExpendPivot'!$A$5:$K$2119,"CCDDD",'2022-23 Worksheet A'!$B$6,"Program","23","Activity","34","Object","5"),0)</f>
        <v>0</v>
      </c>
      <c r="L112" s="209">
        <v>0</v>
      </c>
      <c r="M112" s="195">
        <f t="shared" si="88"/>
        <v>0</v>
      </c>
      <c r="N112" s="196">
        <f t="shared" si="89"/>
        <v>0</v>
      </c>
      <c r="O112" s="189"/>
      <c r="Q112" s="281"/>
      <c r="R112" s="194">
        <v>5</v>
      </c>
      <c r="S112" s="195">
        <f>IFERROR(GETPIVOTDATA("Amount",'22-23 F195 ExpendPivot'!$A$5:$K$2119,"CCDDD",'2022-23 Worksheet A'!$B$6,"Program","24","Activity","34","Object","5"),0)</f>
        <v>0</v>
      </c>
      <c r="T112" s="209">
        <v>0</v>
      </c>
      <c r="U112" s="195">
        <f t="shared" si="90"/>
        <v>0</v>
      </c>
      <c r="V112" s="196">
        <f t="shared" si="91"/>
        <v>0</v>
      </c>
      <c r="W112" s="189"/>
      <c r="Y112" s="281"/>
      <c r="Z112" s="194">
        <v>5</v>
      </c>
      <c r="AA112" s="195">
        <f>IFERROR(GETPIVOTDATA("Amount",'22-23 F195 ExpendPivot'!$A$5:$K$2119,"CCDDD",'2022-23 Worksheet A'!$B$6,"Program","26","Activity","34","Object","5"),0)</f>
        <v>0</v>
      </c>
      <c r="AB112" s="209">
        <v>0</v>
      </c>
      <c r="AC112" s="195">
        <f t="shared" si="92"/>
        <v>0</v>
      </c>
      <c r="AD112" s="196">
        <f t="shared" si="93"/>
        <v>0</v>
      </c>
      <c r="AE112" s="189"/>
      <c r="AG112" s="281"/>
      <c r="AH112" s="194">
        <v>5</v>
      </c>
      <c r="AI112" s="195">
        <f>IFERROR(GETPIVOTDATA("Amount",'22-23 F195 ExpendPivot'!$A$5:$K$2119,"CCDDD",'2022-23 Worksheet A'!$B$6,"Program","29","Activity","34","Object","5"),0)</f>
        <v>0</v>
      </c>
      <c r="AJ112" s="209">
        <v>0</v>
      </c>
      <c r="AK112" s="195">
        <f t="shared" si="94"/>
        <v>0</v>
      </c>
      <c r="AL112" s="196">
        <f t="shared" si="95"/>
        <v>0</v>
      </c>
      <c r="AM112" s="189"/>
    </row>
    <row r="113" spans="1:39">
      <c r="A113" s="281"/>
      <c r="B113" s="194">
        <v>7</v>
      </c>
      <c r="C113" s="195">
        <f>IFERROR(GETPIVOTDATA("Amount",'22-23 F195 ExpendPivot'!$A$5:$K$2119,"CCDDD",'2022-23 Worksheet A'!$B$6,"Program","21","Activity","34","Object","7"),0)</f>
        <v>0</v>
      </c>
      <c r="D113" s="209">
        <v>0</v>
      </c>
      <c r="E113" s="195">
        <f t="shared" si="86"/>
        <v>0</v>
      </c>
      <c r="F113" s="196">
        <f t="shared" si="87"/>
        <v>0</v>
      </c>
      <c r="G113" s="189"/>
      <c r="I113" s="281"/>
      <c r="J113" s="194">
        <v>7</v>
      </c>
      <c r="K113" s="195">
        <f>IFERROR(GETPIVOTDATA("Amount",'22-23 F195 ExpendPivot'!$A$5:$K$2119,"CCDDD",'2022-23 Worksheet A'!$B$6,"Program","23","Activity","34","Object","7"),0)</f>
        <v>0</v>
      </c>
      <c r="L113" s="209">
        <v>0</v>
      </c>
      <c r="M113" s="195">
        <f t="shared" si="88"/>
        <v>0</v>
      </c>
      <c r="N113" s="196">
        <f t="shared" si="89"/>
        <v>0</v>
      </c>
      <c r="O113" s="189"/>
      <c r="Q113" s="281"/>
      <c r="R113" s="194">
        <v>7</v>
      </c>
      <c r="S113" s="195">
        <f>IFERROR(GETPIVOTDATA("Amount",'22-23 F195 ExpendPivot'!$A$5:$K$2119,"CCDDD",'2022-23 Worksheet A'!$B$6,"Program","24","Activity","34","Object","7"),0)</f>
        <v>0</v>
      </c>
      <c r="T113" s="209">
        <v>0</v>
      </c>
      <c r="U113" s="195">
        <f t="shared" si="90"/>
        <v>0</v>
      </c>
      <c r="V113" s="196">
        <f t="shared" si="91"/>
        <v>0</v>
      </c>
      <c r="W113" s="189"/>
      <c r="Y113" s="281"/>
      <c r="Z113" s="194">
        <v>7</v>
      </c>
      <c r="AA113" s="195">
        <f>IFERROR(GETPIVOTDATA("Amount",'22-23 F195 ExpendPivot'!$A$5:$K$2119,"CCDDD",'2022-23 Worksheet A'!$B$6,"Program","26","Activity","34","Object","7"),0)</f>
        <v>0</v>
      </c>
      <c r="AB113" s="209">
        <v>0</v>
      </c>
      <c r="AC113" s="195">
        <f t="shared" si="92"/>
        <v>0</v>
      </c>
      <c r="AD113" s="196">
        <f t="shared" si="93"/>
        <v>0</v>
      </c>
      <c r="AE113" s="189"/>
      <c r="AG113" s="281"/>
      <c r="AH113" s="194">
        <v>7</v>
      </c>
      <c r="AI113" s="195">
        <f>IFERROR(GETPIVOTDATA("Amount",'22-23 F195 ExpendPivot'!$A$5:$K$2119,"CCDDD",'2022-23 Worksheet A'!$B$6,"Program","29","Activity","34","Object","7"),0)</f>
        <v>0</v>
      </c>
      <c r="AJ113" s="209">
        <v>0</v>
      </c>
      <c r="AK113" s="195">
        <f t="shared" si="94"/>
        <v>0</v>
      </c>
      <c r="AL113" s="196">
        <f t="shared" si="95"/>
        <v>0</v>
      </c>
      <c r="AM113" s="189"/>
    </row>
    <row r="114" spans="1:39">
      <c r="A114" s="281"/>
      <c r="B114" s="194">
        <v>8</v>
      </c>
      <c r="C114" s="195">
        <f>IFERROR(GETPIVOTDATA("Amount",'22-23 F195 ExpendPivot'!$A$5:$K$2119,"CCDDD",'2022-23 Worksheet A'!$B$6,"Program","21","Activity","34","Object","8"),0)</f>
        <v>0</v>
      </c>
      <c r="D114" s="209">
        <v>0</v>
      </c>
      <c r="E114" s="195">
        <f t="shared" si="86"/>
        <v>0</v>
      </c>
      <c r="F114" s="196">
        <f t="shared" si="87"/>
        <v>0</v>
      </c>
      <c r="G114" s="189"/>
      <c r="I114" s="281"/>
      <c r="J114" s="194">
        <v>8</v>
      </c>
      <c r="K114" s="195">
        <f>IFERROR(GETPIVOTDATA("Amount",'22-23 F195 ExpendPivot'!$A$5:$K$2119,"CCDDD",'2022-23 Worksheet A'!$B$6,"Program","23","Activity","34","Object","8"),0)</f>
        <v>0</v>
      </c>
      <c r="L114" s="209">
        <v>0</v>
      </c>
      <c r="M114" s="195">
        <f t="shared" si="88"/>
        <v>0</v>
      </c>
      <c r="N114" s="196">
        <f t="shared" si="89"/>
        <v>0</v>
      </c>
      <c r="O114" s="189"/>
      <c r="Q114" s="281"/>
      <c r="R114" s="194">
        <v>8</v>
      </c>
      <c r="S114" s="195">
        <f>IFERROR(GETPIVOTDATA("Amount",'22-23 F195 ExpendPivot'!$A$5:$K$2119,"CCDDD",'2022-23 Worksheet A'!$B$6,"Program","24","Activity","34","Object","8"),0)</f>
        <v>0</v>
      </c>
      <c r="T114" s="209">
        <v>0</v>
      </c>
      <c r="U114" s="195">
        <f t="shared" si="90"/>
        <v>0</v>
      </c>
      <c r="V114" s="196">
        <f t="shared" si="91"/>
        <v>0</v>
      </c>
      <c r="W114" s="189"/>
      <c r="Y114" s="281"/>
      <c r="Z114" s="194">
        <v>8</v>
      </c>
      <c r="AA114" s="195">
        <f>IFERROR(GETPIVOTDATA("Amount",'22-23 F195 ExpendPivot'!$A$5:$K$2119,"CCDDD",'2022-23 Worksheet A'!$B$6,"Program","26","Activity","34","Object","8"),0)</f>
        <v>0</v>
      </c>
      <c r="AB114" s="209">
        <v>0</v>
      </c>
      <c r="AC114" s="195">
        <f t="shared" si="92"/>
        <v>0</v>
      </c>
      <c r="AD114" s="196">
        <f t="shared" si="93"/>
        <v>0</v>
      </c>
      <c r="AE114" s="189"/>
      <c r="AG114" s="281"/>
      <c r="AH114" s="194">
        <v>8</v>
      </c>
      <c r="AI114" s="195">
        <f>IFERROR(GETPIVOTDATA("Amount",'22-23 F195 ExpendPivot'!$A$5:$K$2119,"CCDDD",'2022-23 Worksheet A'!$B$6,"Program","29","Activity","34","Object","8"),0)</f>
        <v>0</v>
      </c>
      <c r="AJ114" s="209">
        <v>0</v>
      </c>
      <c r="AK114" s="195">
        <f t="shared" si="94"/>
        <v>0</v>
      </c>
      <c r="AL114" s="196">
        <f t="shared" si="95"/>
        <v>0</v>
      </c>
      <c r="AM114" s="189"/>
    </row>
    <row r="115" spans="1:39">
      <c r="A115" s="281"/>
      <c r="B115" s="194">
        <v>9</v>
      </c>
      <c r="C115" s="195">
        <f>IFERROR(GETPIVOTDATA("Amount",'22-23 F195 ExpendPivot'!$A$5:$K$2119,"CCDDD",'2022-23 Worksheet A'!$B$6,"Program","21","Activity","34","Object","9"),0)</f>
        <v>0</v>
      </c>
      <c r="D115" s="209">
        <v>0</v>
      </c>
      <c r="E115" s="195">
        <f t="shared" si="86"/>
        <v>0</v>
      </c>
      <c r="F115" s="196">
        <f t="shared" si="87"/>
        <v>0</v>
      </c>
      <c r="G115" s="189"/>
      <c r="I115" s="281"/>
      <c r="J115" s="194">
        <v>9</v>
      </c>
      <c r="K115" s="195">
        <f>IFERROR(GETPIVOTDATA("Amount",'22-23 F195 ExpendPivot'!$A$5:$K$2119,"CCDDD",'2022-23 Worksheet A'!$B$6,"Program","23","Activity","34","Object","9"),0)</f>
        <v>0</v>
      </c>
      <c r="L115" s="209">
        <v>0</v>
      </c>
      <c r="M115" s="195">
        <f t="shared" si="88"/>
        <v>0</v>
      </c>
      <c r="N115" s="196">
        <f t="shared" si="89"/>
        <v>0</v>
      </c>
      <c r="O115" s="189"/>
      <c r="Q115" s="281"/>
      <c r="R115" s="194">
        <v>9</v>
      </c>
      <c r="S115" s="195">
        <f>IFERROR(GETPIVOTDATA("Amount",'22-23 F195 ExpendPivot'!$A$5:$K$2119,"CCDDD",'2022-23 Worksheet A'!$B$6,"Program","24","Activity","34","Object","9"),0)</f>
        <v>0</v>
      </c>
      <c r="T115" s="209">
        <v>0</v>
      </c>
      <c r="U115" s="195">
        <f t="shared" si="90"/>
        <v>0</v>
      </c>
      <c r="V115" s="196">
        <f t="shared" si="91"/>
        <v>0</v>
      </c>
      <c r="W115" s="189"/>
      <c r="Y115" s="281"/>
      <c r="Z115" s="194">
        <v>9</v>
      </c>
      <c r="AA115" s="195">
        <f>IFERROR(GETPIVOTDATA("Amount",'22-23 F195 ExpendPivot'!$A$5:$K$2119,"CCDDD",'2022-23 Worksheet A'!$B$6,"Program","26","Activity","34","Object","9"),0)</f>
        <v>0</v>
      </c>
      <c r="AB115" s="209">
        <v>0</v>
      </c>
      <c r="AC115" s="195">
        <f t="shared" si="92"/>
        <v>0</v>
      </c>
      <c r="AD115" s="196">
        <f t="shared" si="93"/>
        <v>0</v>
      </c>
      <c r="AE115" s="189"/>
      <c r="AG115" s="281"/>
      <c r="AH115" s="194">
        <v>9</v>
      </c>
      <c r="AI115" s="195">
        <f>IFERROR(GETPIVOTDATA("Amount",'22-23 F195 ExpendPivot'!$A$5:$K$2119,"CCDDD",'2022-23 Worksheet A'!$B$6,"Program","29","Activity","34","Object","9"),0)</f>
        <v>0</v>
      </c>
      <c r="AJ115" s="209">
        <v>0</v>
      </c>
      <c r="AK115" s="195">
        <f t="shared" si="94"/>
        <v>0</v>
      </c>
      <c r="AL115" s="196">
        <f t="shared" si="95"/>
        <v>0</v>
      </c>
      <c r="AM115" s="189"/>
    </row>
    <row r="116" spans="1:39">
      <c r="A116" s="282"/>
      <c r="B116" s="210"/>
      <c r="C116" s="211">
        <f>SUM(C108:C115)</f>
        <v>0</v>
      </c>
      <c r="D116" s="211">
        <f>SUM(D108:D115)</f>
        <v>0</v>
      </c>
      <c r="E116" s="211">
        <f>SUM(E108:E115)</f>
        <v>0</v>
      </c>
      <c r="F116" s="212"/>
      <c r="G116" s="213"/>
      <c r="I116" s="282"/>
      <c r="J116" s="210"/>
      <c r="K116" s="211">
        <f>SUM(K108:K115)</f>
        <v>0</v>
      </c>
      <c r="L116" s="211">
        <f>SUM(L108:L115)</f>
        <v>0</v>
      </c>
      <c r="M116" s="211">
        <f>SUM(M108:M115)</f>
        <v>0</v>
      </c>
      <c r="N116" s="212"/>
      <c r="O116" s="213"/>
      <c r="Q116" s="282"/>
      <c r="R116" s="210"/>
      <c r="S116" s="211">
        <f>SUM(S108:S115)</f>
        <v>0</v>
      </c>
      <c r="T116" s="211">
        <f>SUM(T108:T115)</f>
        <v>0</v>
      </c>
      <c r="U116" s="211">
        <f>SUM(U108:U115)</f>
        <v>0</v>
      </c>
      <c r="V116" s="212"/>
      <c r="W116" s="213"/>
      <c r="Y116" s="282"/>
      <c r="Z116" s="210"/>
      <c r="AA116" s="211">
        <f>SUM(AA108:AA115)</f>
        <v>0</v>
      </c>
      <c r="AB116" s="211">
        <f>SUM(AB108:AB115)</f>
        <v>0</v>
      </c>
      <c r="AC116" s="211">
        <f>SUM(AC108:AC115)</f>
        <v>0</v>
      </c>
      <c r="AD116" s="212"/>
      <c r="AE116" s="213"/>
      <c r="AG116" s="282"/>
      <c r="AH116" s="210"/>
      <c r="AI116" s="211">
        <f>SUM(AI108:AI115)</f>
        <v>0</v>
      </c>
      <c r="AJ116" s="211">
        <f>SUM(AJ108:AJ115)</f>
        <v>0</v>
      </c>
      <c r="AK116" s="211">
        <f>SUM(AK108:AK115)</f>
        <v>0</v>
      </c>
      <c r="AL116" s="212"/>
      <c r="AM116" s="213"/>
    </row>
    <row r="117" spans="1:39" ht="15" thickBot="1">
      <c r="A117" s="218"/>
      <c r="B117" s="214" t="s">
        <v>586</v>
      </c>
      <c r="C117" s="219">
        <f>C14+C23+C32+C41+C50+C59+C68+C77+C80+C89+C98+C107+C116</f>
        <v>0</v>
      </c>
      <c r="D117" s="219">
        <f>D14+D23+D32+D41+D50+D59+D68+D77+D80+D89+D98+D107+D116</f>
        <v>0</v>
      </c>
      <c r="E117" s="219">
        <f>E14+E23+E32+E41+E50+E59+E68+E77+E80+E89+E98+E107+E116</f>
        <v>0</v>
      </c>
      <c r="F117" s="216"/>
      <c r="G117" s="217"/>
      <c r="I117" s="218"/>
      <c r="J117" s="214" t="s">
        <v>586</v>
      </c>
      <c r="K117" s="219">
        <f>K14+K23+K32+K41+K50+K59+K68+K77+K80+K89+K98+K107+K116</f>
        <v>0</v>
      </c>
      <c r="L117" s="219">
        <f>L14+L23+L32+L41+L50+L59+L68+L77+L80+L89+L98+L107+L116</f>
        <v>0</v>
      </c>
      <c r="M117" s="219">
        <f>M14+M23+M32+M41+M50+M59+M68+M77+M80+M89+M98+M107+M116</f>
        <v>0</v>
      </c>
      <c r="N117" s="216"/>
      <c r="O117" s="217"/>
      <c r="Q117" s="218"/>
      <c r="R117" s="214" t="s">
        <v>586</v>
      </c>
      <c r="S117" s="219">
        <f>S14+S23+S32+S41+S50+S59+S68+S77+S80+S89+S98+S107+S116</f>
        <v>0</v>
      </c>
      <c r="T117" s="219">
        <f>T14+T23+T32+T41+T50+T59+T68+T77+T80+T89+T98+T107+T116</f>
        <v>0</v>
      </c>
      <c r="U117" s="219">
        <f>U14+U23+U32+U41+U50+U59+U68+U77+U80+U89+U98+U107+U116</f>
        <v>0</v>
      </c>
      <c r="V117" s="216"/>
      <c r="W117" s="217"/>
      <c r="Y117" s="218"/>
      <c r="Z117" s="214" t="s">
        <v>586</v>
      </c>
      <c r="AA117" s="219">
        <f>AA14+AA23+AA32+AA41+AA50+AA59+AA68+AA77+AA80+AA89+AA98+AA107+AA116</f>
        <v>0</v>
      </c>
      <c r="AB117" s="219">
        <f>AB14+AB23+AB32+AB41+AB50+AB59+AB68+AB77+AB80+AB89+AB98+AB107+AB116</f>
        <v>0</v>
      </c>
      <c r="AC117" s="219">
        <f>AC14+AC23+AC32+AC41+AC50+AC59+AC68+AC77+AC80+AC89+AC98+AC107+AC116</f>
        <v>0</v>
      </c>
      <c r="AD117" s="216"/>
      <c r="AE117" s="217"/>
      <c r="AG117" s="218"/>
      <c r="AH117" s="214" t="s">
        <v>586</v>
      </c>
      <c r="AI117" s="219">
        <f>AI14+AI23+AI32+AI41+AI50+AI59+AI68+AI77+AI80+AI89+AI98+AI107+AI116</f>
        <v>0</v>
      </c>
      <c r="AJ117" s="219">
        <f>AJ14+AJ23+AJ32+AJ41+AJ50+AJ59+AJ68+AJ77+AJ80+AJ89+AJ98+AJ107+AJ116</f>
        <v>0</v>
      </c>
      <c r="AK117" s="219">
        <f>AK14+AK23+AK32+AK41+AK50+AK59+AK68+AK77+AK80+AK89+AK98+AK107+AK116</f>
        <v>0</v>
      </c>
      <c r="AL117" s="216"/>
      <c r="AM117" s="217"/>
    </row>
    <row r="118" spans="1:39" ht="15" thickTop="1">
      <c r="A118" s="198"/>
      <c r="B118" s="199"/>
      <c r="C118" s="200"/>
      <c r="D118" s="199"/>
      <c r="E118" s="200"/>
      <c r="F118" s="200"/>
      <c r="G118" s="201"/>
      <c r="I118" s="198"/>
      <c r="J118" s="199"/>
      <c r="K118" s="200"/>
      <c r="L118" s="199"/>
      <c r="M118" s="200"/>
      <c r="N118" s="200"/>
      <c r="O118" s="201"/>
      <c r="Q118" s="198"/>
      <c r="R118" s="199"/>
      <c r="S118" s="200"/>
      <c r="T118" s="199"/>
      <c r="U118" s="200"/>
      <c r="V118" s="200"/>
      <c r="W118" s="201"/>
      <c r="Y118" s="198"/>
      <c r="Z118" s="199"/>
      <c r="AA118" s="200"/>
      <c r="AB118" s="199"/>
      <c r="AC118" s="200"/>
      <c r="AD118" s="200"/>
      <c r="AE118" s="201"/>
      <c r="AG118" s="198"/>
      <c r="AH118" s="199"/>
      <c r="AI118" s="200"/>
      <c r="AJ118" s="199"/>
      <c r="AK118" s="200"/>
      <c r="AL118" s="200"/>
      <c r="AM118" s="201"/>
    </row>
    <row r="119" spans="1:39">
      <c r="A119" s="185"/>
      <c r="B119" s="202"/>
      <c r="C119" s="202"/>
      <c r="D119" s="202"/>
      <c r="E119" s="202"/>
      <c r="F119" s="202"/>
      <c r="G119" s="185"/>
      <c r="I119" s="185"/>
      <c r="J119" s="202"/>
      <c r="K119" s="202"/>
      <c r="L119" s="202"/>
      <c r="M119" s="202"/>
      <c r="N119" s="202"/>
      <c r="O119" s="185"/>
      <c r="Q119" s="185"/>
      <c r="R119" s="202"/>
      <c r="S119" s="202"/>
      <c r="T119" s="202"/>
      <c r="U119" s="202"/>
      <c r="V119" s="202"/>
      <c r="W119" s="185"/>
      <c r="Y119" s="185"/>
      <c r="Z119" s="202"/>
      <c r="AA119" s="202"/>
      <c r="AB119" s="202"/>
      <c r="AC119" s="202"/>
      <c r="AD119" s="202"/>
      <c r="AE119" s="185"/>
      <c r="AG119" s="185"/>
      <c r="AH119" s="202"/>
      <c r="AI119" s="202"/>
      <c r="AJ119" s="202"/>
      <c r="AK119" s="202"/>
      <c r="AL119" s="202"/>
      <c r="AM119" s="185"/>
    </row>
    <row r="120" spans="1:39">
      <c r="A120" s="185"/>
      <c r="B120" s="202"/>
      <c r="C120" s="202"/>
      <c r="D120" s="202"/>
      <c r="E120" s="202"/>
      <c r="F120" s="202"/>
      <c r="G120" s="185"/>
      <c r="I120" s="185"/>
      <c r="J120" s="202"/>
      <c r="K120" s="202"/>
      <c r="L120" s="202"/>
      <c r="M120" s="202"/>
      <c r="N120" s="202"/>
      <c r="O120" s="185"/>
      <c r="Q120" s="185"/>
      <c r="R120" s="202"/>
      <c r="S120" s="202"/>
      <c r="T120" s="202"/>
      <c r="U120" s="202"/>
      <c r="V120" s="202"/>
      <c r="W120" s="185"/>
      <c r="Y120" s="185"/>
      <c r="Z120" s="202"/>
      <c r="AA120" s="202"/>
      <c r="AB120" s="202"/>
      <c r="AC120" s="202"/>
      <c r="AD120" s="202"/>
      <c r="AE120" s="185"/>
      <c r="AG120" s="185"/>
      <c r="AH120" s="202"/>
      <c r="AI120" s="202"/>
      <c r="AJ120" s="202"/>
      <c r="AK120" s="202"/>
      <c r="AL120" s="202"/>
      <c r="AM120" s="185"/>
    </row>
  </sheetData>
  <mergeCells count="73">
    <mergeCell ref="F1:O2"/>
    <mergeCell ref="A4:G4"/>
    <mergeCell ref="Q4:W4"/>
    <mergeCell ref="Y4:AE4"/>
    <mergeCell ref="AG4:AM4"/>
    <mergeCell ref="B3:C3"/>
    <mergeCell ref="I4:O4"/>
    <mergeCell ref="A6:A14"/>
    <mergeCell ref="Q6:Q14"/>
    <mergeCell ref="Y6:Y14"/>
    <mergeCell ref="A15:A23"/>
    <mergeCell ref="A24:A32"/>
    <mergeCell ref="Y15:Y23"/>
    <mergeCell ref="Y24:Y32"/>
    <mergeCell ref="I6:I14"/>
    <mergeCell ref="I15:I23"/>
    <mergeCell ref="I24:I32"/>
    <mergeCell ref="A33:A41"/>
    <mergeCell ref="A42:A50"/>
    <mergeCell ref="A51:A59"/>
    <mergeCell ref="A60:A68"/>
    <mergeCell ref="A69:A77"/>
    <mergeCell ref="A81:A89"/>
    <mergeCell ref="A78:A80"/>
    <mergeCell ref="A90:A98"/>
    <mergeCell ref="A99:A107"/>
    <mergeCell ref="A108:A116"/>
    <mergeCell ref="Q108:Q116"/>
    <mergeCell ref="Q15:Q23"/>
    <mergeCell ref="Q24:Q32"/>
    <mergeCell ref="Q33:Q41"/>
    <mergeCell ref="Q42:Q50"/>
    <mergeCell ref="Q51:Q59"/>
    <mergeCell ref="Q60:Q68"/>
    <mergeCell ref="Q69:Q77"/>
    <mergeCell ref="Q78:Q80"/>
    <mergeCell ref="Q81:Q89"/>
    <mergeCell ref="Q90:Q98"/>
    <mergeCell ref="Q99:Q107"/>
    <mergeCell ref="Y90:Y98"/>
    <mergeCell ref="Y99:Y107"/>
    <mergeCell ref="Y108:Y116"/>
    <mergeCell ref="Y33:Y41"/>
    <mergeCell ref="Y42:Y50"/>
    <mergeCell ref="Y51:Y59"/>
    <mergeCell ref="Y60:Y68"/>
    <mergeCell ref="Y69:Y77"/>
    <mergeCell ref="AG90:AG98"/>
    <mergeCell ref="AG99:AG107"/>
    <mergeCell ref="AG108:AG116"/>
    <mergeCell ref="D1:E1"/>
    <mergeCell ref="AG51:AG59"/>
    <mergeCell ref="AG60:AG68"/>
    <mergeCell ref="AG69:AG77"/>
    <mergeCell ref="AG78:AG80"/>
    <mergeCell ref="AG81:AG89"/>
    <mergeCell ref="AG6:AG14"/>
    <mergeCell ref="AG15:AG23"/>
    <mergeCell ref="AG24:AG32"/>
    <mergeCell ref="AG33:AG41"/>
    <mergeCell ref="AG42:AG50"/>
    <mergeCell ref="Y78:Y80"/>
    <mergeCell ref="Y81:Y89"/>
    <mergeCell ref="I33:I41"/>
    <mergeCell ref="I42:I50"/>
    <mergeCell ref="I51:I59"/>
    <mergeCell ref="I60:I68"/>
    <mergeCell ref="I69:I77"/>
    <mergeCell ref="I78:I80"/>
    <mergeCell ref="I81:I89"/>
    <mergeCell ref="I90:I98"/>
    <mergeCell ref="I99:I107"/>
    <mergeCell ref="I108:I116"/>
  </mergeCells>
  <conditionalFormatting sqref="G7">
    <cfRule type="expression" dxfId="969" priority="1831">
      <formula>$F$7&lt;-10%</formula>
    </cfRule>
    <cfRule type="expression" dxfId="968" priority="1832">
      <formula>$F$7&gt;10%</formula>
    </cfRule>
  </conditionalFormatting>
  <conditionalFormatting sqref="G8">
    <cfRule type="expression" dxfId="967" priority="1829">
      <formula>$F$8&lt;-10%</formula>
    </cfRule>
    <cfRule type="expression" dxfId="966" priority="1830">
      <formula>$F$8&gt;10%</formula>
    </cfRule>
  </conditionalFormatting>
  <conditionalFormatting sqref="G6">
    <cfRule type="expression" dxfId="965" priority="1827">
      <formula>$F$6&lt;-10%</formula>
    </cfRule>
    <cfRule type="expression" dxfId="964" priority="1828">
      <formula>$F$6&gt;10%</formula>
    </cfRule>
  </conditionalFormatting>
  <conditionalFormatting sqref="G9">
    <cfRule type="expression" dxfId="963" priority="1825">
      <formula>$F$9&lt;-10%</formula>
    </cfRule>
    <cfRule type="expression" dxfId="962" priority="1826">
      <formula>$F$9&gt;10%</formula>
    </cfRule>
  </conditionalFormatting>
  <conditionalFormatting sqref="G10">
    <cfRule type="expression" dxfId="961" priority="1823">
      <formula>$F$10&lt;-10%</formula>
    </cfRule>
    <cfRule type="expression" dxfId="960" priority="1824">
      <formula>$F$10&gt;10%</formula>
    </cfRule>
  </conditionalFormatting>
  <conditionalFormatting sqref="G11">
    <cfRule type="expression" dxfId="959" priority="1821">
      <formula>$F$11&lt;-10%</formula>
    </cfRule>
    <cfRule type="expression" dxfId="958" priority="1822">
      <formula>$F$11&gt;10%</formula>
    </cfRule>
  </conditionalFormatting>
  <conditionalFormatting sqref="G12">
    <cfRule type="expression" dxfId="957" priority="1819">
      <formula>$F$12&lt;-10%</formula>
    </cfRule>
    <cfRule type="expression" dxfId="956" priority="1820">
      <formula>$F$12&gt;10%</formula>
    </cfRule>
  </conditionalFormatting>
  <conditionalFormatting sqref="G13">
    <cfRule type="expression" dxfId="955" priority="1817">
      <formula>$F$13&lt;-10%</formula>
    </cfRule>
    <cfRule type="expression" dxfId="954" priority="1818">
      <formula>$F$13&gt;10%</formula>
    </cfRule>
  </conditionalFormatting>
  <conditionalFormatting sqref="G79">
    <cfRule type="expression" dxfId="953" priority="1715">
      <formula>F79&lt;-10%</formula>
    </cfRule>
    <cfRule type="expression" dxfId="952" priority="1716">
      <formula>F79&gt;10%</formula>
    </cfRule>
  </conditionalFormatting>
  <conditionalFormatting sqref="G43">
    <cfRule type="expression" dxfId="951" priority="1569">
      <formula>$F$43&lt;-10%</formula>
    </cfRule>
    <cfRule type="expression" dxfId="950" priority="1570">
      <formula>$F$43&gt;10%</formula>
    </cfRule>
  </conditionalFormatting>
  <conditionalFormatting sqref="G16">
    <cfRule type="expression" dxfId="949" priority="1617">
      <formula>$F$16&lt;-10%</formula>
    </cfRule>
    <cfRule type="expression" dxfId="948" priority="1618">
      <formula>$F$16&gt;10%</formula>
    </cfRule>
  </conditionalFormatting>
  <conditionalFormatting sqref="G17">
    <cfRule type="expression" dxfId="947" priority="1615">
      <formula>$F$17&lt;-10%</formula>
    </cfRule>
    <cfRule type="expression" dxfId="946" priority="1616">
      <formula>$F$17&gt;10%</formula>
    </cfRule>
  </conditionalFormatting>
  <conditionalFormatting sqref="G15">
    <cfRule type="expression" dxfId="945" priority="1613">
      <formula>$F$15&lt;-10%</formula>
    </cfRule>
    <cfRule type="expression" dxfId="944" priority="1614">
      <formula>$F$15&gt;10%</formula>
    </cfRule>
  </conditionalFormatting>
  <conditionalFormatting sqref="G18">
    <cfRule type="expression" dxfId="943" priority="1611">
      <formula>$F$18&lt;-10%</formula>
    </cfRule>
    <cfRule type="expression" dxfId="942" priority="1612">
      <formula>$F$18&gt;10%</formula>
    </cfRule>
  </conditionalFormatting>
  <conditionalFormatting sqref="G19">
    <cfRule type="expression" dxfId="941" priority="1609">
      <formula>$F$19&lt;-10%</formula>
    </cfRule>
    <cfRule type="expression" dxfId="940" priority="1610">
      <formula>$F$19&gt;10%</formula>
    </cfRule>
  </conditionalFormatting>
  <conditionalFormatting sqref="G20">
    <cfRule type="expression" dxfId="939" priority="1607">
      <formula>$F$20&lt;-10%</formula>
    </cfRule>
    <cfRule type="expression" dxfId="938" priority="1608">
      <formula>$F$20&gt;10%</formula>
    </cfRule>
  </conditionalFormatting>
  <conditionalFormatting sqref="G21">
    <cfRule type="expression" dxfId="937" priority="1605">
      <formula>$F$21&lt;-10%</formula>
    </cfRule>
    <cfRule type="expression" dxfId="936" priority="1606">
      <formula>$F$21&gt;10%</formula>
    </cfRule>
  </conditionalFormatting>
  <conditionalFormatting sqref="G22">
    <cfRule type="expression" dxfId="935" priority="1603">
      <formula>$F$22&lt;-10%</formula>
    </cfRule>
    <cfRule type="expression" dxfId="934" priority="1604">
      <formula>$F$22&gt;10%</formula>
    </cfRule>
  </conditionalFormatting>
  <conditionalFormatting sqref="G25">
    <cfRule type="expression" dxfId="933" priority="1601">
      <formula>$F$25&lt;-10%</formula>
    </cfRule>
    <cfRule type="expression" dxfId="932" priority="1602">
      <formula>$F$25&gt;10%</formula>
    </cfRule>
  </conditionalFormatting>
  <conditionalFormatting sqref="G26">
    <cfRule type="expression" dxfId="931" priority="1599">
      <formula>$F$26&lt;-10%</formula>
    </cfRule>
    <cfRule type="expression" dxfId="930" priority="1600">
      <formula>$F$26&gt;10%</formula>
    </cfRule>
  </conditionalFormatting>
  <conditionalFormatting sqref="G24">
    <cfRule type="expression" dxfId="929" priority="1597">
      <formula>$F$24&lt;-10%</formula>
    </cfRule>
    <cfRule type="expression" dxfId="928" priority="1598">
      <formula>$F$24&gt;10%</formula>
    </cfRule>
  </conditionalFormatting>
  <conditionalFormatting sqref="G27">
    <cfRule type="expression" dxfId="927" priority="1595">
      <formula>$F$27&lt;-10%</formula>
    </cfRule>
    <cfRule type="expression" dxfId="926" priority="1596">
      <formula>$F$27&gt;10%</formula>
    </cfRule>
  </conditionalFormatting>
  <conditionalFormatting sqref="G28">
    <cfRule type="expression" dxfId="925" priority="1593">
      <formula>$F$28&lt;-10%</formula>
    </cfRule>
    <cfRule type="expression" dxfId="924" priority="1594">
      <formula>$F$28&gt;10%</formula>
    </cfRule>
  </conditionalFormatting>
  <conditionalFormatting sqref="G29">
    <cfRule type="expression" dxfId="923" priority="1591">
      <formula>$F$29&lt;-10%</formula>
    </cfRule>
    <cfRule type="expression" dxfId="922" priority="1592">
      <formula>$F$29&gt;10%</formula>
    </cfRule>
  </conditionalFormatting>
  <conditionalFormatting sqref="G30">
    <cfRule type="expression" dxfId="921" priority="1589">
      <formula>$F$30&lt;-10%</formula>
    </cfRule>
    <cfRule type="expression" dxfId="920" priority="1590">
      <formula>$F$30&gt;10%</formula>
    </cfRule>
  </conditionalFormatting>
  <conditionalFormatting sqref="G31">
    <cfRule type="expression" dxfId="919" priority="1587">
      <formula>$F$31&lt;-10%</formula>
    </cfRule>
    <cfRule type="expression" dxfId="918" priority="1588">
      <formula>$F$31&gt;10%</formula>
    </cfRule>
  </conditionalFormatting>
  <conditionalFormatting sqref="G34">
    <cfRule type="expression" dxfId="917" priority="1585">
      <formula>$F$34&lt;-10%</formula>
    </cfRule>
    <cfRule type="expression" dxfId="916" priority="1586">
      <formula>$F$34&gt;10%</formula>
    </cfRule>
  </conditionalFormatting>
  <conditionalFormatting sqref="G35">
    <cfRule type="expression" dxfId="915" priority="1583">
      <formula>$F$35&lt;-10%</formula>
    </cfRule>
    <cfRule type="expression" dxfId="914" priority="1584">
      <formula>$F$35&gt;10%</formula>
    </cfRule>
  </conditionalFormatting>
  <conditionalFormatting sqref="G33">
    <cfRule type="expression" dxfId="913" priority="1581">
      <formula>$F$33&lt;-10%</formula>
    </cfRule>
    <cfRule type="expression" dxfId="912" priority="1582">
      <formula>$F$33&gt;10%</formula>
    </cfRule>
  </conditionalFormatting>
  <conditionalFormatting sqref="G36">
    <cfRule type="expression" dxfId="911" priority="1579">
      <formula>$F$36&lt;-10%</formula>
    </cfRule>
    <cfRule type="expression" dxfId="910" priority="1580">
      <formula>$F$36&gt;10%</formula>
    </cfRule>
  </conditionalFormatting>
  <conditionalFormatting sqref="G37">
    <cfRule type="expression" dxfId="909" priority="1577">
      <formula>$F$37&lt;-10%</formula>
    </cfRule>
    <cfRule type="expression" dxfId="908" priority="1578">
      <formula>$F$37&gt;10%</formula>
    </cfRule>
  </conditionalFormatting>
  <conditionalFormatting sqref="G38">
    <cfRule type="expression" dxfId="907" priority="1575">
      <formula>$F$38&lt;-10%</formula>
    </cfRule>
    <cfRule type="expression" dxfId="906" priority="1576">
      <formula>$F$38&gt;10%</formula>
    </cfRule>
  </conditionalFormatting>
  <conditionalFormatting sqref="G39">
    <cfRule type="expression" dxfId="905" priority="1573">
      <formula>$F$39&lt;-10%</formula>
    </cfRule>
    <cfRule type="expression" dxfId="904" priority="1574">
      <formula>$F$39&gt;10%</formula>
    </cfRule>
  </conditionalFormatting>
  <conditionalFormatting sqref="G40">
    <cfRule type="expression" dxfId="903" priority="1571">
      <formula>$F$40&lt;-10%</formula>
    </cfRule>
    <cfRule type="expression" dxfId="902" priority="1572">
      <formula>$F$40&gt;10%</formula>
    </cfRule>
  </conditionalFormatting>
  <conditionalFormatting sqref="G44">
    <cfRule type="expression" dxfId="901" priority="1567">
      <formula>$F$44&lt;-10%</formula>
    </cfRule>
    <cfRule type="expression" dxfId="900" priority="1568">
      <formula>$F$44&gt;10%</formula>
    </cfRule>
  </conditionalFormatting>
  <conditionalFormatting sqref="G42">
    <cfRule type="expression" dxfId="899" priority="1565">
      <formula>$F$42&lt;-10%</formula>
    </cfRule>
    <cfRule type="expression" dxfId="898" priority="1566">
      <formula>$F$42&gt;10%</formula>
    </cfRule>
  </conditionalFormatting>
  <conditionalFormatting sqref="G45">
    <cfRule type="expression" dxfId="897" priority="1563">
      <formula>$F$45&lt;-10%</formula>
    </cfRule>
    <cfRule type="expression" dxfId="896" priority="1564">
      <formula>$F$45&gt;10%</formula>
    </cfRule>
  </conditionalFormatting>
  <conditionalFormatting sqref="G46">
    <cfRule type="expression" dxfId="895" priority="1561">
      <formula>$F$46&lt;-10%</formula>
    </cfRule>
    <cfRule type="expression" dxfId="894" priority="1562">
      <formula>$F$46&gt;10%</formula>
    </cfRule>
  </conditionalFormatting>
  <conditionalFormatting sqref="G47">
    <cfRule type="expression" dxfId="893" priority="1559">
      <formula>$F$47&lt;-10%</formula>
    </cfRule>
    <cfRule type="expression" dxfId="892" priority="1560">
      <formula>$F$47&gt;10%</formula>
    </cfRule>
  </conditionalFormatting>
  <conditionalFormatting sqref="G48">
    <cfRule type="expression" dxfId="891" priority="1557">
      <formula>$F$48&lt;-10%</formula>
    </cfRule>
    <cfRule type="expression" dxfId="890" priority="1558">
      <formula>$F$48&gt;10%</formula>
    </cfRule>
  </conditionalFormatting>
  <conditionalFormatting sqref="G49">
    <cfRule type="expression" dxfId="889" priority="1555">
      <formula>$F$49&lt;-10%</formula>
    </cfRule>
    <cfRule type="expression" dxfId="888" priority="1556">
      <formula>$F$49&gt;10%</formula>
    </cfRule>
  </conditionalFormatting>
  <conditionalFormatting sqref="G52">
    <cfRule type="expression" dxfId="887" priority="1553">
      <formula>$F$52&lt;-10%</formula>
    </cfRule>
    <cfRule type="expression" dxfId="886" priority="1554">
      <formula>$F$52&gt;10%</formula>
    </cfRule>
  </conditionalFormatting>
  <conditionalFormatting sqref="G53">
    <cfRule type="expression" dxfId="885" priority="1551">
      <formula>$F$53&lt;-10%</formula>
    </cfRule>
    <cfRule type="expression" dxfId="884" priority="1552">
      <formula>$F$53&gt;10%</formula>
    </cfRule>
  </conditionalFormatting>
  <conditionalFormatting sqref="G51">
    <cfRule type="expression" dxfId="883" priority="1549">
      <formula>$F$51&lt;-10%</formula>
    </cfRule>
    <cfRule type="expression" dxfId="882" priority="1550">
      <formula>$F$51&gt;10%</formula>
    </cfRule>
  </conditionalFormatting>
  <conditionalFormatting sqref="G54">
    <cfRule type="expression" dxfId="881" priority="1547">
      <formula>$F$54&lt;-10%</formula>
    </cfRule>
    <cfRule type="expression" dxfId="880" priority="1548">
      <formula>$F$54&gt;10%</formula>
    </cfRule>
  </conditionalFormatting>
  <conditionalFormatting sqref="G55">
    <cfRule type="expression" dxfId="879" priority="1545">
      <formula>$F$55&lt;-10%</formula>
    </cfRule>
    <cfRule type="expression" dxfId="878" priority="1546">
      <formula>$F$55&gt;10%</formula>
    </cfRule>
  </conditionalFormatting>
  <conditionalFormatting sqref="G56">
    <cfRule type="expression" dxfId="877" priority="1543">
      <formula>$F$56&lt;-10%</formula>
    </cfRule>
    <cfRule type="expression" dxfId="876" priority="1544">
      <formula>$F$56&gt;10%</formula>
    </cfRule>
  </conditionalFormatting>
  <conditionalFormatting sqref="G57">
    <cfRule type="expression" dxfId="875" priority="1541">
      <formula>$F$57&lt;-10%</formula>
    </cfRule>
    <cfRule type="expression" dxfId="874" priority="1542">
      <formula>$F$57&gt;10%</formula>
    </cfRule>
  </conditionalFormatting>
  <conditionalFormatting sqref="G58">
    <cfRule type="expression" dxfId="873" priority="1539">
      <formula>$F$58&lt;-10%</formula>
    </cfRule>
    <cfRule type="expression" dxfId="872" priority="1540">
      <formula>$F$58&gt;10%</formula>
    </cfRule>
  </conditionalFormatting>
  <conditionalFormatting sqref="G61">
    <cfRule type="expression" dxfId="871" priority="1537">
      <formula>$F$61&lt;-10%</formula>
    </cfRule>
    <cfRule type="expression" dxfId="870" priority="1538">
      <formula>$F$61&gt;10%</formula>
    </cfRule>
  </conditionalFormatting>
  <conditionalFormatting sqref="G62">
    <cfRule type="expression" dxfId="869" priority="1535">
      <formula>$F$62&lt;-10%</formula>
    </cfRule>
    <cfRule type="expression" dxfId="868" priority="1536">
      <formula>$F$62&gt;10%</formula>
    </cfRule>
  </conditionalFormatting>
  <conditionalFormatting sqref="G60">
    <cfRule type="expression" dxfId="867" priority="1533">
      <formula>$F$60&lt;-10%</formula>
    </cfRule>
    <cfRule type="expression" dxfId="866" priority="1534">
      <formula>$F$60&gt;10%</formula>
    </cfRule>
  </conditionalFormatting>
  <conditionalFormatting sqref="G63">
    <cfRule type="expression" dxfId="865" priority="1531">
      <formula>$F$63&lt;-10%</formula>
    </cfRule>
    <cfRule type="expression" dxfId="864" priority="1532">
      <formula>$F$63&gt;10%</formula>
    </cfRule>
  </conditionalFormatting>
  <conditionalFormatting sqref="G64">
    <cfRule type="expression" dxfId="863" priority="1529">
      <formula>$F$64&lt;-10%</formula>
    </cfRule>
    <cfRule type="expression" dxfId="862" priority="1530">
      <formula>$F$64&gt;10%</formula>
    </cfRule>
  </conditionalFormatting>
  <conditionalFormatting sqref="G65">
    <cfRule type="expression" dxfId="861" priority="1527">
      <formula>$F$65&lt;-10%</formula>
    </cfRule>
    <cfRule type="expression" dxfId="860" priority="1528">
      <formula>$F$65&gt;10%</formula>
    </cfRule>
  </conditionalFormatting>
  <conditionalFormatting sqref="G66">
    <cfRule type="expression" dxfId="859" priority="1525">
      <formula>$F$66&lt;-10%</formula>
    </cfRule>
    <cfRule type="expression" dxfId="858" priority="1526">
      <formula>$F$66&gt;10%</formula>
    </cfRule>
  </conditionalFormatting>
  <conditionalFormatting sqref="G67">
    <cfRule type="expression" dxfId="857" priority="1523">
      <formula>$F$67&lt;-10%</formula>
    </cfRule>
    <cfRule type="expression" dxfId="856" priority="1524">
      <formula>$F$67&gt;10%</formula>
    </cfRule>
  </conditionalFormatting>
  <conditionalFormatting sqref="G70">
    <cfRule type="expression" dxfId="855" priority="1521">
      <formula>$F$70&lt;-10%</formula>
    </cfRule>
    <cfRule type="expression" dxfId="854" priority="1522">
      <formula>$F$70&gt;10%</formula>
    </cfRule>
  </conditionalFormatting>
  <conditionalFormatting sqref="G71">
    <cfRule type="expression" dxfId="853" priority="1519">
      <formula>$F$71&lt;-10%</formula>
    </cfRule>
    <cfRule type="expression" dxfId="852" priority="1520">
      <formula>$F$71&gt;10%</formula>
    </cfRule>
  </conditionalFormatting>
  <conditionalFormatting sqref="G69">
    <cfRule type="expression" dxfId="851" priority="1517">
      <formula>$F$69&lt;-10%</formula>
    </cfRule>
    <cfRule type="expression" dxfId="850" priority="1518">
      <formula>$F$69&gt;10%</formula>
    </cfRule>
  </conditionalFormatting>
  <conditionalFormatting sqref="G72">
    <cfRule type="expression" dxfId="849" priority="1515">
      <formula>$F$72&lt;-10%</formula>
    </cfRule>
    <cfRule type="expression" dxfId="848" priority="1516">
      <formula>$F$72&gt;10%</formula>
    </cfRule>
  </conditionalFormatting>
  <conditionalFormatting sqref="G73">
    <cfRule type="expression" dxfId="847" priority="1513">
      <formula>$F$73&lt;-10%</formula>
    </cfRule>
    <cfRule type="expression" dxfId="846" priority="1514">
      <formula>$F$73&gt;10%</formula>
    </cfRule>
  </conditionalFormatting>
  <conditionalFormatting sqref="G74">
    <cfRule type="expression" dxfId="845" priority="1511">
      <formula>$F$74&lt;-10%</formula>
    </cfRule>
    <cfRule type="expression" dxfId="844" priority="1512">
      <formula>$F$74&gt;10%</formula>
    </cfRule>
  </conditionalFormatting>
  <conditionalFormatting sqref="G75">
    <cfRule type="expression" dxfId="843" priority="1509">
      <formula>$F$75&lt;-10%</formula>
    </cfRule>
    <cfRule type="expression" dxfId="842" priority="1510">
      <formula>$F$75&gt;10%</formula>
    </cfRule>
  </conditionalFormatting>
  <conditionalFormatting sqref="G76">
    <cfRule type="expression" dxfId="841" priority="1507">
      <formula>$F$76&lt;-10%</formula>
    </cfRule>
    <cfRule type="expression" dxfId="840" priority="1508">
      <formula>$F$76&gt;10%</formula>
    </cfRule>
  </conditionalFormatting>
  <conditionalFormatting sqref="G82">
    <cfRule type="expression" dxfId="839" priority="1505">
      <formula>$F$82&lt;-10%</formula>
    </cfRule>
    <cfRule type="expression" dxfId="838" priority="1506">
      <formula>$F$82&gt;10%</formula>
    </cfRule>
  </conditionalFormatting>
  <conditionalFormatting sqref="G83">
    <cfRule type="expression" dxfId="837" priority="1503">
      <formula>$F$83&lt;-10%</formula>
    </cfRule>
    <cfRule type="expression" dxfId="836" priority="1504">
      <formula>$F$83&gt;10%</formula>
    </cfRule>
  </conditionalFormatting>
  <conditionalFormatting sqref="G81">
    <cfRule type="expression" dxfId="835" priority="1501">
      <formula>$F$81&lt;-10%</formula>
    </cfRule>
    <cfRule type="expression" dxfId="834" priority="1502">
      <formula>$F$81&gt;10%</formula>
    </cfRule>
  </conditionalFormatting>
  <conditionalFormatting sqref="G84">
    <cfRule type="expression" dxfId="833" priority="1499">
      <formula>$F$84&lt;-10%</formula>
    </cfRule>
    <cfRule type="expression" dxfId="832" priority="1500">
      <formula>$F$84&gt;10%</formula>
    </cfRule>
  </conditionalFormatting>
  <conditionalFormatting sqref="G85">
    <cfRule type="expression" dxfId="831" priority="1497">
      <formula>$F$85&lt;-10%</formula>
    </cfRule>
    <cfRule type="expression" dxfId="830" priority="1498">
      <formula>$F$85&gt;10%</formula>
    </cfRule>
  </conditionalFormatting>
  <conditionalFormatting sqref="G86">
    <cfRule type="expression" dxfId="829" priority="1495">
      <formula>$F$86&lt;-10%</formula>
    </cfRule>
    <cfRule type="expression" dxfId="828" priority="1496">
      <formula>$F$86&gt;10%</formula>
    </cfRule>
  </conditionalFormatting>
  <conditionalFormatting sqref="G87">
    <cfRule type="expression" dxfId="827" priority="1493">
      <formula>$F$87&lt;-10%</formula>
    </cfRule>
    <cfRule type="expression" dxfId="826" priority="1494">
      <formula>$F$87&gt;10%</formula>
    </cfRule>
  </conditionalFormatting>
  <conditionalFormatting sqref="G88">
    <cfRule type="expression" dxfId="825" priority="1491">
      <formula>$F$88&lt;-10%</formula>
    </cfRule>
    <cfRule type="expression" dxfId="824" priority="1492">
      <formula>$F$88&gt;10%</formula>
    </cfRule>
  </conditionalFormatting>
  <conditionalFormatting sqref="G91">
    <cfRule type="expression" dxfId="823" priority="1489">
      <formula>$F$91&lt;-10%</formula>
    </cfRule>
    <cfRule type="expression" dxfId="822" priority="1490">
      <formula>$F$91&gt;10%</formula>
    </cfRule>
  </conditionalFormatting>
  <conditionalFormatting sqref="G92">
    <cfRule type="expression" dxfId="821" priority="1487">
      <formula>$F$92&lt;-10%</formula>
    </cfRule>
    <cfRule type="expression" dxfId="820" priority="1488">
      <formula>$F$92&gt;10%</formula>
    </cfRule>
  </conditionalFormatting>
  <conditionalFormatting sqref="G90">
    <cfRule type="expression" dxfId="819" priority="1485">
      <formula>$F$90&lt;-10%</formula>
    </cfRule>
    <cfRule type="expression" dxfId="818" priority="1486">
      <formula>$F$90&gt;10%</formula>
    </cfRule>
  </conditionalFormatting>
  <conditionalFormatting sqref="G93">
    <cfRule type="expression" dxfId="817" priority="1483">
      <formula>$F$93&lt;-10%</formula>
    </cfRule>
    <cfRule type="expression" dxfId="816" priority="1484">
      <formula>$F$93&gt;10%</formula>
    </cfRule>
  </conditionalFormatting>
  <conditionalFormatting sqref="G94">
    <cfRule type="expression" dxfId="815" priority="1481">
      <formula>$F$94&lt;-10%</formula>
    </cfRule>
    <cfRule type="expression" dxfId="814" priority="1482">
      <formula>$F$94&gt;10%</formula>
    </cfRule>
  </conditionalFormatting>
  <conditionalFormatting sqref="G95">
    <cfRule type="expression" dxfId="813" priority="1479">
      <formula>$F$95&lt;-10%</formula>
    </cfRule>
    <cfRule type="expression" dxfId="812" priority="1480">
      <formula>$F$95&gt;10%</formula>
    </cfRule>
  </conditionalFormatting>
  <conditionalFormatting sqref="G96">
    <cfRule type="expression" dxfId="811" priority="1477">
      <formula>$F$96&lt;-10%</formula>
    </cfRule>
    <cfRule type="expression" dxfId="810" priority="1478">
      <formula>$F$96&gt;10%</formula>
    </cfRule>
  </conditionalFormatting>
  <conditionalFormatting sqref="G97">
    <cfRule type="expression" dxfId="809" priority="1475">
      <formula>$F$97&lt;-10%</formula>
    </cfRule>
    <cfRule type="expression" dxfId="808" priority="1476">
      <formula>$F$97&gt;10%</formula>
    </cfRule>
  </conditionalFormatting>
  <conditionalFormatting sqref="G99">
    <cfRule type="expression" dxfId="807" priority="1469">
      <formula>F99&lt;-10%</formula>
    </cfRule>
    <cfRule type="expression" dxfId="806" priority="1470">
      <formula>F99&gt;10%</formula>
    </cfRule>
  </conditionalFormatting>
  <conditionalFormatting sqref="W7">
    <cfRule type="expression" dxfId="805" priority="1425">
      <formula>V7&lt;-10%</formula>
    </cfRule>
    <cfRule type="expression" dxfId="804" priority="1426">
      <formula>V7&gt;10%</formula>
    </cfRule>
  </conditionalFormatting>
  <conditionalFormatting sqref="W6">
    <cfRule type="expression" dxfId="803" priority="1421">
      <formula>V6&lt;-10%</formula>
    </cfRule>
    <cfRule type="expression" dxfId="802" priority="1422">
      <formula>V6&gt;10%</formula>
    </cfRule>
  </conditionalFormatting>
  <conditionalFormatting sqref="G100">
    <cfRule type="expression" dxfId="801" priority="811">
      <formula>F100&lt;-10%</formula>
    </cfRule>
    <cfRule type="expression" dxfId="800" priority="812">
      <formula>F100&gt;10%</formula>
    </cfRule>
  </conditionalFormatting>
  <conditionalFormatting sqref="G101">
    <cfRule type="expression" dxfId="799" priority="809">
      <formula>F101&lt;-10%</formula>
    </cfRule>
    <cfRule type="expression" dxfId="798" priority="810">
      <formula>F101&gt;10%</formula>
    </cfRule>
  </conditionalFormatting>
  <conditionalFormatting sqref="G102">
    <cfRule type="expression" dxfId="797" priority="807">
      <formula>F102&lt;-10%</formula>
    </cfRule>
    <cfRule type="expression" dxfId="796" priority="808">
      <formula>F102&gt;10%</formula>
    </cfRule>
  </conditionalFormatting>
  <conditionalFormatting sqref="G103">
    <cfRule type="expression" dxfId="795" priority="805">
      <formula>F103&lt;-10%</formula>
    </cfRule>
    <cfRule type="expression" dxfId="794" priority="806">
      <formula>F103&gt;10%</formula>
    </cfRule>
  </conditionalFormatting>
  <conditionalFormatting sqref="G104">
    <cfRule type="expression" dxfId="793" priority="803">
      <formula>F104&lt;-10%</formula>
    </cfRule>
    <cfRule type="expression" dxfId="792" priority="804">
      <formula>F104&gt;10%</formula>
    </cfRule>
  </conditionalFormatting>
  <conditionalFormatting sqref="G105">
    <cfRule type="expression" dxfId="791" priority="801">
      <formula>F105&lt;-10%</formula>
    </cfRule>
    <cfRule type="expression" dxfId="790" priority="802">
      <formula>F105&gt;10%</formula>
    </cfRule>
  </conditionalFormatting>
  <conditionalFormatting sqref="G106">
    <cfRule type="expression" dxfId="789" priority="799">
      <formula>F106&lt;-10%</formula>
    </cfRule>
    <cfRule type="expression" dxfId="788" priority="800">
      <formula>F106&gt;10%</formula>
    </cfRule>
  </conditionalFormatting>
  <conditionalFormatting sqref="G108">
    <cfRule type="expression" dxfId="787" priority="797">
      <formula>F108&lt;-10%</formula>
    </cfRule>
    <cfRule type="expression" dxfId="786" priority="798">
      <formula>F108&gt;10%</formula>
    </cfRule>
  </conditionalFormatting>
  <conditionalFormatting sqref="G109">
    <cfRule type="expression" dxfId="785" priority="795">
      <formula>F109&lt;-10%</formula>
    </cfRule>
    <cfRule type="expression" dxfId="784" priority="796">
      <formula>F109&gt;10%</formula>
    </cfRule>
  </conditionalFormatting>
  <conditionalFormatting sqref="G110">
    <cfRule type="expression" dxfId="783" priority="793">
      <formula>F110&lt;-10%</formula>
    </cfRule>
    <cfRule type="expression" dxfId="782" priority="794">
      <formula>F110&gt;10%</formula>
    </cfRule>
  </conditionalFormatting>
  <conditionalFormatting sqref="G111">
    <cfRule type="expression" dxfId="781" priority="791">
      <formula>F111&lt;-10%</formula>
    </cfRule>
    <cfRule type="expression" dxfId="780" priority="792">
      <formula>F111&gt;10%</formula>
    </cfRule>
  </conditionalFormatting>
  <conditionalFormatting sqref="G112">
    <cfRule type="expression" dxfId="779" priority="789">
      <formula>F112&lt;-10%</formula>
    </cfRule>
    <cfRule type="expression" dxfId="778" priority="790">
      <formula>F112&gt;10%</formula>
    </cfRule>
  </conditionalFormatting>
  <conditionalFormatting sqref="G113">
    <cfRule type="expression" dxfId="777" priority="787">
      <formula>F113&lt;-10%</formula>
    </cfRule>
    <cfRule type="expression" dxfId="776" priority="788">
      <formula>F113&gt;10%</formula>
    </cfRule>
  </conditionalFormatting>
  <conditionalFormatting sqref="G114">
    <cfRule type="expression" dxfId="775" priority="785">
      <formula>F114&lt;-10%</formula>
    </cfRule>
    <cfRule type="expression" dxfId="774" priority="786">
      <formula>F114&gt;10%</formula>
    </cfRule>
  </conditionalFormatting>
  <conditionalFormatting sqref="G115">
    <cfRule type="expression" dxfId="773" priority="783">
      <formula>F115&lt;-10%</formula>
    </cfRule>
    <cfRule type="expression" dxfId="772" priority="784">
      <formula>F115&gt;10%</formula>
    </cfRule>
  </conditionalFormatting>
  <conditionalFormatting sqref="W8">
    <cfRule type="expression" dxfId="771" priority="777">
      <formula>V8&lt;-10%</formula>
    </cfRule>
    <cfRule type="expression" dxfId="770" priority="778">
      <formula>V8&gt;10%</formula>
    </cfRule>
  </conditionalFormatting>
  <conditionalFormatting sqref="W9">
    <cfRule type="expression" dxfId="769" priority="775">
      <formula>V9&lt;-10%</formula>
    </cfRule>
    <cfRule type="expression" dxfId="768" priority="776">
      <formula>V9&gt;10%</formula>
    </cfRule>
  </conditionalFormatting>
  <conditionalFormatting sqref="W10">
    <cfRule type="expression" dxfId="767" priority="773">
      <formula>V10&lt;-10%</formula>
    </cfRule>
    <cfRule type="expression" dxfId="766" priority="774">
      <formula>V10&gt;10%</formula>
    </cfRule>
  </conditionalFormatting>
  <conditionalFormatting sqref="W11">
    <cfRule type="expression" dxfId="765" priority="771">
      <formula>V11&lt;-10%</formula>
    </cfRule>
    <cfRule type="expression" dxfId="764" priority="772">
      <formula>V11&gt;10%</formula>
    </cfRule>
  </conditionalFormatting>
  <conditionalFormatting sqref="W12">
    <cfRule type="expression" dxfId="763" priority="767">
      <formula>V12&lt;-10%</formula>
    </cfRule>
    <cfRule type="expression" dxfId="762" priority="768">
      <formula>V12&gt;10%</formula>
    </cfRule>
  </conditionalFormatting>
  <conditionalFormatting sqref="W13">
    <cfRule type="expression" dxfId="761" priority="765">
      <formula>V13&lt;-10%</formula>
    </cfRule>
    <cfRule type="expression" dxfId="760" priority="766">
      <formula>V13&gt;10%</formula>
    </cfRule>
  </conditionalFormatting>
  <conditionalFormatting sqref="W16">
    <cfRule type="expression" dxfId="759" priority="759">
      <formula>V16&lt;-10%</formula>
    </cfRule>
    <cfRule type="expression" dxfId="758" priority="760">
      <formula>V16&gt;10%</formula>
    </cfRule>
  </conditionalFormatting>
  <conditionalFormatting sqref="W15">
    <cfRule type="expression" dxfId="757" priority="757">
      <formula>V15&lt;-10%</formula>
    </cfRule>
    <cfRule type="expression" dxfId="756" priority="758">
      <formula>V15&gt;10%</formula>
    </cfRule>
  </conditionalFormatting>
  <conditionalFormatting sqref="W17">
    <cfRule type="expression" dxfId="755" priority="755">
      <formula>V17&lt;-10%</formula>
    </cfRule>
    <cfRule type="expression" dxfId="754" priority="756">
      <formula>V17&gt;10%</formula>
    </cfRule>
  </conditionalFormatting>
  <conditionalFormatting sqref="W18">
    <cfRule type="expression" dxfId="753" priority="753">
      <formula>V18&lt;-10%</formula>
    </cfRule>
    <cfRule type="expression" dxfId="752" priority="754">
      <formula>V18&gt;10%</formula>
    </cfRule>
  </conditionalFormatting>
  <conditionalFormatting sqref="W19">
    <cfRule type="expression" dxfId="751" priority="751">
      <formula>V19&lt;-10%</formula>
    </cfRule>
    <cfRule type="expression" dxfId="750" priority="752">
      <formula>V19&gt;10%</formula>
    </cfRule>
  </conditionalFormatting>
  <conditionalFormatting sqref="W20">
    <cfRule type="expression" dxfId="749" priority="749">
      <formula>V20&lt;-10%</formula>
    </cfRule>
    <cfRule type="expression" dxfId="748" priority="750">
      <formula>V20&gt;10%</formula>
    </cfRule>
  </conditionalFormatting>
  <conditionalFormatting sqref="W21">
    <cfRule type="expression" dxfId="747" priority="747">
      <formula>V21&lt;-10%</formula>
    </cfRule>
    <cfRule type="expression" dxfId="746" priority="748">
      <formula>V21&gt;10%</formula>
    </cfRule>
  </conditionalFormatting>
  <conditionalFormatting sqref="W22">
    <cfRule type="expression" dxfId="745" priority="745">
      <formula>V22&lt;-10%</formula>
    </cfRule>
    <cfRule type="expression" dxfId="744" priority="746">
      <formula>V22&gt;10%</formula>
    </cfRule>
  </conditionalFormatting>
  <conditionalFormatting sqref="W25">
    <cfRule type="expression" dxfId="743" priority="743">
      <formula>V25&lt;-10%</formula>
    </cfRule>
    <cfRule type="expression" dxfId="742" priority="744">
      <formula>V25&gt;10%</formula>
    </cfRule>
  </conditionalFormatting>
  <conditionalFormatting sqref="W24">
    <cfRule type="expression" dxfId="741" priority="741">
      <formula>V24&lt;-10%</formula>
    </cfRule>
    <cfRule type="expression" dxfId="740" priority="742">
      <formula>V24&gt;10%</formula>
    </cfRule>
  </conditionalFormatting>
  <conditionalFormatting sqref="W26">
    <cfRule type="expression" dxfId="739" priority="739">
      <formula>V26&lt;-10%</formula>
    </cfRule>
    <cfRule type="expression" dxfId="738" priority="740">
      <formula>V26&gt;10%</formula>
    </cfRule>
  </conditionalFormatting>
  <conditionalFormatting sqref="W27">
    <cfRule type="expression" dxfId="737" priority="737">
      <formula>V27&lt;-10%</formula>
    </cfRule>
    <cfRule type="expression" dxfId="736" priority="738">
      <formula>V27&gt;10%</formula>
    </cfRule>
  </conditionalFormatting>
  <conditionalFormatting sqref="W28">
    <cfRule type="expression" dxfId="735" priority="735">
      <formula>V28&lt;-10%</formula>
    </cfRule>
    <cfRule type="expression" dxfId="734" priority="736">
      <formula>V28&gt;10%</formula>
    </cfRule>
  </conditionalFormatting>
  <conditionalFormatting sqref="W29">
    <cfRule type="expression" dxfId="733" priority="733">
      <formula>V29&lt;-10%</formula>
    </cfRule>
    <cfRule type="expression" dxfId="732" priority="734">
      <formula>V29&gt;10%</formula>
    </cfRule>
  </conditionalFormatting>
  <conditionalFormatting sqref="W30">
    <cfRule type="expression" dxfId="731" priority="731">
      <formula>V30&lt;-10%</formula>
    </cfRule>
    <cfRule type="expression" dxfId="730" priority="732">
      <formula>V30&gt;10%</formula>
    </cfRule>
  </conditionalFormatting>
  <conditionalFormatting sqref="W31">
    <cfRule type="expression" dxfId="729" priority="729">
      <formula>V31&lt;-10%</formula>
    </cfRule>
    <cfRule type="expression" dxfId="728" priority="730">
      <formula>V31&gt;10%</formula>
    </cfRule>
  </conditionalFormatting>
  <conditionalFormatting sqref="W34">
    <cfRule type="expression" dxfId="727" priority="727">
      <formula>V34&lt;-10%</formula>
    </cfRule>
    <cfRule type="expression" dxfId="726" priority="728">
      <formula>V34&gt;10%</formula>
    </cfRule>
  </conditionalFormatting>
  <conditionalFormatting sqref="W33">
    <cfRule type="expression" dxfId="725" priority="725">
      <formula>V33&lt;-10%</formula>
    </cfRule>
    <cfRule type="expression" dxfId="724" priority="726">
      <formula>V33&gt;10%</formula>
    </cfRule>
  </conditionalFormatting>
  <conditionalFormatting sqref="W35">
    <cfRule type="expression" dxfId="723" priority="723">
      <formula>V35&lt;-10%</formula>
    </cfRule>
    <cfRule type="expression" dxfId="722" priority="724">
      <formula>V35&gt;10%</formula>
    </cfRule>
  </conditionalFormatting>
  <conditionalFormatting sqref="W36">
    <cfRule type="expression" dxfId="721" priority="721">
      <formula>V36&lt;-10%</formula>
    </cfRule>
    <cfRule type="expression" dxfId="720" priority="722">
      <formula>V36&gt;10%</formula>
    </cfRule>
  </conditionalFormatting>
  <conditionalFormatting sqref="W37">
    <cfRule type="expression" dxfId="719" priority="719">
      <formula>V37&lt;-10%</formula>
    </cfRule>
    <cfRule type="expression" dxfId="718" priority="720">
      <formula>V37&gt;10%</formula>
    </cfRule>
  </conditionalFormatting>
  <conditionalFormatting sqref="W38">
    <cfRule type="expression" dxfId="717" priority="717">
      <formula>V38&lt;-10%</formula>
    </cfRule>
    <cfRule type="expression" dxfId="716" priority="718">
      <formula>V38&gt;10%</formula>
    </cfRule>
  </conditionalFormatting>
  <conditionalFormatting sqref="W39">
    <cfRule type="expression" dxfId="715" priority="715">
      <formula>V39&lt;-10%</formula>
    </cfRule>
    <cfRule type="expression" dxfId="714" priority="716">
      <formula>V39&gt;10%</formula>
    </cfRule>
  </conditionalFormatting>
  <conditionalFormatting sqref="W40">
    <cfRule type="expression" dxfId="713" priority="713">
      <formula>V40&lt;-10%</formula>
    </cfRule>
    <cfRule type="expression" dxfId="712" priority="714">
      <formula>V40&gt;10%</formula>
    </cfRule>
  </conditionalFormatting>
  <conditionalFormatting sqref="W43">
    <cfRule type="expression" dxfId="711" priority="711">
      <formula>V43&lt;-10%</formula>
    </cfRule>
    <cfRule type="expression" dxfId="710" priority="712">
      <formula>V43&gt;10%</formula>
    </cfRule>
  </conditionalFormatting>
  <conditionalFormatting sqref="W42">
    <cfRule type="expression" dxfId="709" priority="709">
      <formula>V42&lt;-10%</formula>
    </cfRule>
    <cfRule type="expression" dxfId="708" priority="710">
      <formula>V42&gt;10%</formula>
    </cfRule>
  </conditionalFormatting>
  <conditionalFormatting sqref="W44">
    <cfRule type="expression" dxfId="707" priority="707">
      <formula>V44&lt;-10%</formula>
    </cfRule>
    <cfRule type="expression" dxfId="706" priority="708">
      <formula>V44&gt;10%</formula>
    </cfRule>
  </conditionalFormatting>
  <conditionalFormatting sqref="W45">
    <cfRule type="expression" dxfId="705" priority="705">
      <formula>V45&lt;-10%</formula>
    </cfRule>
    <cfRule type="expression" dxfId="704" priority="706">
      <formula>V45&gt;10%</formula>
    </cfRule>
  </conditionalFormatting>
  <conditionalFormatting sqref="W46">
    <cfRule type="expression" dxfId="703" priority="703">
      <formula>V46&lt;-10%</formula>
    </cfRule>
    <cfRule type="expression" dxfId="702" priority="704">
      <formula>V46&gt;10%</formula>
    </cfRule>
  </conditionalFormatting>
  <conditionalFormatting sqref="W47">
    <cfRule type="expression" dxfId="701" priority="701">
      <formula>V47&lt;-10%</formula>
    </cfRule>
    <cfRule type="expression" dxfId="700" priority="702">
      <formula>V47&gt;10%</formula>
    </cfRule>
  </conditionalFormatting>
  <conditionalFormatting sqref="W48">
    <cfRule type="expression" dxfId="699" priority="699">
      <formula>V48&lt;-10%</formula>
    </cfRule>
    <cfRule type="expression" dxfId="698" priority="700">
      <formula>V48&gt;10%</formula>
    </cfRule>
  </conditionalFormatting>
  <conditionalFormatting sqref="W49">
    <cfRule type="expression" dxfId="697" priority="697">
      <formula>V49&lt;-10%</formula>
    </cfRule>
    <cfRule type="expression" dxfId="696" priority="698">
      <formula>V49&gt;10%</formula>
    </cfRule>
  </conditionalFormatting>
  <conditionalFormatting sqref="W52">
    <cfRule type="expression" dxfId="695" priority="695">
      <formula>V52&lt;-10%</formula>
    </cfRule>
    <cfRule type="expression" dxfId="694" priority="696">
      <formula>V52&gt;10%</formula>
    </cfRule>
  </conditionalFormatting>
  <conditionalFormatting sqref="W51">
    <cfRule type="expression" dxfId="693" priority="693">
      <formula>V51&lt;-10%</formula>
    </cfRule>
    <cfRule type="expression" dxfId="692" priority="694">
      <formula>V51&gt;10%</formula>
    </cfRule>
  </conditionalFormatting>
  <conditionalFormatting sqref="W53">
    <cfRule type="expression" dxfId="691" priority="691">
      <formula>V53&lt;-10%</formula>
    </cfRule>
    <cfRule type="expression" dxfId="690" priority="692">
      <formula>V53&gt;10%</formula>
    </cfRule>
  </conditionalFormatting>
  <conditionalFormatting sqref="W54">
    <cfRule type="expression" dxfId="689" priority="689">
      <formula>V54&lt;-10%</formula>
    </cfRule>
    <cfRule type="expression" dxfId="688" priority="690">
      <formula>V54&gt;10%</formula>
    </cfRule>
  </conditionalFormatting>
  <conditionalFormatting sqref="W55">
    <cfRule type="expression" dxfId="687" priority="687">
      <formula>V55&lt;-10%</formula>
    </cfRule>
    <cfRule type="expression" dxfId="686" priority="688">
      <formula>V55&gt;10%</formula>
    </cfRule>
  </conditionalFormatting>
  <conditionalFormatting sqref="W56">
    <cfRule type="expression" dxfId="685" priority="685">
      <formula>V56&lt;-10%</formula>
    </cfRule>
    <cfRule type="expression" dxfId="684" priority="686">
      <formula>V56&gt;10%</formula>
    </cfRule>
  </conditionalFormatting>
  <conditionalFormatting sqref="W57">
    <cfRule type="expression" dxfId="683" priority="683">
      <formula>V57&lt;-10%</formula>
    </cfRule>
    <cfRule type="expression" dxfId="682" priority="684">
      <formula>V57&gt;10%</formula>
    </cfRule>
  </conditionalFormatting>
  <conditionalFormatting sqref="W58">
    <cfRule type="expression" dxfId="681" priority="681">
      <formula>V58&lt;-10%</formula>
    </cfRule>
    <cfRule type="expression" dxfId="680" priority="682">
      <formula>V58&gt;10%</formula>
    </cfRule>
  </conditionalFormatting>
  <conditionalFormatting sqref="W61">
    <cfRule type="expression" dxfId="679" priority="679">
      <formula>V61&lt;-10%</formula>
    </cfRule>
    <cfRule type="expression" dxfId="678" priority="680">
      <formula>V61&gt;10%</formula>
    </cfRule>
  </conditionalFormatting>
  <conditionalFormatting sqref="W60">
    <cfRule type="expression" dxfId="677" priority="677">
      <formula>V60&lt;-10%</formula>
    </cfRule>
    <cfRule type="expression" dxfId="676" priority="678">
      <formula>V60&gt;10%</formula>
    </cfRule>
  </conditionalFormatting>
  <conditionalFormatting sqref="W62">
    <cfRule type="expression" dxfId="675" priority="675">
      <formula>V62&lt;-10%</formula>
    </cfRule>
    <cfRule type="expression" dxfId="674" priority="676">
      <formula>V62&gt;10%</formula>
    </cfRule>
  </conditionalFormatting>
  <conditionalFormatting sqref="W63">
    <cfRule type="expression" dxfId="673" priority="673">
      <formula>V63&lt;-10%</formula>
    </cfRule>
    <cfRule type="expression" dxfId="672" priority="674">
      <formula>V63&gt;10%</formula>
    </cfRule>
  </conditionalFormatting>
  <conditionalFormatting sqref="W64">
    <cfRule type="expression" dxfId="671" priority="671">
      <formula>V64&lt;-10%</formula>
    </cfRule>
    <cfRule type="expression" dxfId="670" priority="672">
      <formula>V64&gt;10%</formula>
    </cfRule>
  </conditionalFormatting>
  <conditionalFormatting sqref="W65">
    <cfRule type="expression" dxfId="669" priority="669">
      <formula>V65&lt;-10%</formula>
    </cfRule>
    <cfRule type="expression" dxfId="668" priority="670">
      <formula>V65&gt;10%</formula>
    </cfRule>
  </conditionalFormatting>
  <conditionalFormatting sqref="W66">
    <cfRule type="expression" dxfId="667" priority="667">
      <formula>V66&lt;-10%</formula>
    </cfRule>
    <cfRule type="expression" dxfId="666" priority="668">
      <formula>V66&gt;10%</formula>
    </cfRule>
  </conditionalFormatting>
  <conditionalFormatting sqref="W67">
    <cfRule type="expression" dxfId="665" priority="665">
      <formula>V67&lt;-10%</formula>
    </cfRule>
    <cfRule type="expression" dxfId="664" priority="666">
      <formula>V67&gt;10%</formula>
    </cfRule>
  </conditionalFormatting>
  <conditionalFormatting sqref="W70">
    <cfRule type="expression" dxfId="663" priority="663">
      <formula>V70&lt;-10%</formula>
    </cfRule>
    <cfRule type="expression" dxfId="662" priority="664">
      <formula>V70&gt;10%</formula>
    </cfRule>
  </conditionalFormatting>
  <conditionalFormatting sqref="W69">
    <cfRule type="expression" dxfId="661" priority="661">
      <formula>V69&lt;-10%</formula>
    </cfRule>
    <cfRule type="expression" dxfId="660" priority="662">
      <formula>V69&gt;10%</formula>
    </cfRule>
  </conditionalFormatting>
  <conditionalFormatting sqref="W71">
    <cfRule type="expression" dxfId="659" priority="659">
      <formula>V71&lt;-10%</formula>
    </cfRule>
    <cfRule type="expression" dxfId="658" priority="660">
      <formula>V71&gt;10%</formula>
    </cfRule>
  </conditionalFormatting>
  <conditionalFormatting sqref="W72">
    <cfRule type="expression" dxfId="657" priority="657">
      <formula>V72&lt;-10%</formula>
    </cfRule>
    <cfRule type="expression" dxfId="656" priority="658">
      <formula>V72&gt;10%</formula>
    </cfRule>
  </conditionalFormatting>
  <conditionalFormatting sqref="W73">
    <cfRule type="expression" dxfId="655" priority="655">
      <formula>V73&lt;-10%</formula>
    </cfRule>
    <cfRule type="expression" dxfId="654" priority="656">
      <formula>V73&gt;10%</formula>
    </cfRule>
  </conditionalFormatting>
  <conditionalFormatting sqref="W74">
    <cfRule type="expression" dxfId="653" priority="653">
      <formula>V74&lt;-10%</formula>
    </cfRule>
    <cfRule type="expression" dxfId="652" priority="654">
      <formula>V74&gt;10%</formula>
    </cfRule>
  </conditionalFormatting>
  <conditionalFormatting sqref="W75">
    <cfRule type="expression" dxfId="651" priority="651">
      <formula>V75&lt;-10%</formula>
    </cfRule>
    <cfRule type="expression" dxfId="650" priority="652">
      <formula>V75&gt;10%</formula>
    </cfRule>
  </conditionalFormatting>
  <conditionalFormatting sqref="W76">
    <cfRule type="expression" dxfId="649" priority="649">
      <formula>V76&lt;-10%</formula>
    </cfRule>
    <cfRule type="expression" dxfId="648" priority="650">
      <formula>V76&gt;10%</formula>
    </cfRule>
  </conditionalFormatting>
  <conditionalFormatting sqref="W82">
    <cfRule type="expression" dxfId="647" priority="647">
      <formula>V82&lt;-10%</formula>
    </cfRule>
    <cfRule type="expression" dxfId="646" priority="648">
      <formula>V82&gt;10%</formula>
    </cfRule>
  </conditionalFormatting>
  <conditionalFormatting sqref="W81">
    <cfRule type="expression" dxfId="645" priority="645">
      <formula>V81&lt;-10%</formula>
    </cfRule>
    <cfRule type="expression" dxfId="644" priority="646">
      <formula>V81&gt;10%</formula>
    </cfRule>
  </conditionalFormatting>
  <conditionalFormatting sqref="W83">
    <cfRule type="expression" dxfId="643" priority="643">
      <formula>V83&lt;-10%</formula>
    </cfRule>
    <cfRule type="expression" dxfId="642" priority="644">
      <formula>V83&gt;10%</formula>
    </cfRule>
  </conditionalFormatting>
  <conditionalFormatting sqref="W84">
    <cfRule type="expression" dxfId="641" priority="641">
      <formula>V84&lt;-10%</formula>
    </cfRule>
    <cfRule type="expression" dxfId="640" priority="642">
      <formula>V84&gt;10%</formula>
    </cfRule>
  </conditionalFormatting>
  <conditionalFormatting sqref="W85">
    <cfRule type="expression" dxfId="639" priority="639">
      <formula>V85&lt;-10%</formula>
    </cfRule>
    <cfRule type="expression" dxfId="638" priority="640">
      <formula>V85&gt;10%</formula>
    </cfRule>
  </conditionalFormatting>
  <conditionalFormatting sqref="W86">
    <cfRule type="expression" dxfId="637" priority="637">
      <formula>V86&lt;-10%</formula>
    </cfRule>
    <cfRule type="expression" dxfId="636" priority="638">
      <formula>V86&gt;10%</formula>
    </cfRule>
  </conditionalFormatting>
  <conditionalFormatting sqref="W87">
    <cfRule type="expression" dxfId="635" priority="635">
      <formula>V87&lt;-10%</formula>
    </cfRule>
    <cfRule type="expression" dxfId="634" priority="636">
      <formula>V87&gt;10%</formula>
    </cfRule>
  </conditionalFormatting>
  <conditionalFormatting sqref="W88">
    <cfRule type="expression" dxfId="633" priority="633">
      <formula>V88&lt;-10%</formula>
    </cfRule>
    <cfRule type="expression" dxfId="632" priority="634">
      <formula>V88&gt;10%</formula>
    </cfRule>
  </conditionalFormatting>
  <conditionalFormatting sqref="W91">
    <cfRule type="expression" dxfId="631" priority="631">
      <formula>V91&lt;-10%</formula>
    </cfRule>
    <cfRule type="expression" dxfId="630" priority="632">
      <formula>V91&gt;10%</formula>
    </cfRule>
  </conditionalFormatting>
  <conditionalFormatting sqref="W90">
    <cfRule type="expression" dxfId="629" priority="629">
      <formula>V90&lt;-10%</formula>
    </cfRule>
    <cfRule type="expression" dxfId="628" priority="630">
      <formula>V90&gt;10%</formula>
    </cfRule>
  </conditionalFormatting>
  <conditionalFormatting sqref="W92">
    <cfRule type="expression" dxfId="627" priority="627">
      <formula>V92&lt;-10%</formula>
    </cfRule>
    <cfRule type="expression" dxfId="626" priority="628">
      <formula>V92&gt;10%</formula>
    </cfRule>
  </conditionalFormatting>
  <conditionalFormatting sqref="W93">
    <cfRule type="expression" dxfId="625" priority="625">
      <formula>V93&lt;-10%</formula>
    </cfRule>
    <cfRule type="expression" dxfId="624" priority="626">
      <formula>V93&gt;10%</formula>
    </cfRule>
  </conditionalFormatting>
  <conditionalFormatting sqref="W94">
    <cfRule type="expression" dxfId="623" priority="623">
      <formula>V94&lt;-10%</formula>
    </cfRule>
    <cfRule type="expression" dxfId="622" priority="624">
      <formula>V94&gt;10%</formula>
    </cfRule>
  </conditionalFormatting>
  <conditionalFormatting sqref="W95">
    <cfRule type="expression" dxfId="621" priority="621">
      <formula>V95&lt;-10%</formula>
    </cfRule>
    <cfRule type="expression" dxfId="620" priority="622">
      <formula>V95&gt;10%</formula>
    </cfRule>
  </conditionalFormatting>
  <conditionalFormatting sqref="W96">
    <cfRule type="expression" dxfId="619" priority="619">
      <formula>V96&lt;-10%</formula>
    </cfRule>
    <cfRule type="expression" dxfId="618" priority="620">
      <formula>V96&gt;10%</formula>
    </cfRule>
  </conditionalFormatting>
  <conditionalFormatting sqref="W97">
    <cfRule type="expression" dxfId="617" priority="617">
      <formula>V97&lt;-10%</formula>
    </cfRule>
    <cfRule type="expression" dxfId="616" priority="618">
      <formula>V97&gt;10%</formula>
    </cfRule>
  </conditionalFormatting>
  <conditionalFormatting sqref="W100">
    <cfRule type="expression" dxfId="615" priority="615">
      <formula>V100&lt;-10%</formula>
    </cfRule>
    <cfRule type="expression" dxfId="614" priority="616">
      <formula>V100&gt;10%</formula>
    </cfRule>
  </conditionalFormatting>
  <conditionalFormatting sqref="W99">
    <cfRule type="expression" dxfId="613" priority="613">
      <formula>V99&lt;-10%</formula>
    </cfRule>
    <cfRule type="expression" dxfId="612" priority="614">
      <formula>V99&gt;10%</formula>
    </cfRule>
  </conditionalFormatting>
  <conditionalFormatting sqref="W101">
    <cfRule type="expression" dxfId="611" priority="611">
      <formula>V101&lt;-10%</formula>
    </cfRule>
    <cfRule type="expression" dxfId="610" priority="612">
      <formula>V101&gt;10%</formula>
    </cfRule>
  </conditionalFormatting>
  <conditionalFormatting sqref="W102">
    <cfRule type="expression" dxfId="609" priority="609">
      <formula>V102&lt;-10%</formula>
    </cfRule>
    <cfRule type="expression" dxfId="608" priority="610">
      <formula>V102&gt;10%</formula>
    </cfRule>
  </conditionalFormatting>
  <conditionalFormatting sqref="W103">
    <cfRule type="expression" dxfId="607" priority="607">
      <formula>V103&lt;-10%</formula>
    </cfRule>
    <cfRule type="expression" dxfId="606" priority="608">
      <formula>V103&gt;10%</formula>
    </cfRule>
  </conditionalFormatting>
  <conditionalFormatting sqref="W104">
    <cfRule type="expression" dxfId="605" priority="605">
      <formula>V104&lt;-10%</formula>
    </cfRule>
    <cfRule type="expression" dxfId="604" priority="606">
      <formula>V104&gt;10%</formula>
    </cfRule>
  </conditionalFormatting>
  <conditionalFormatting sqref="W105">
    <cfRule type="expression" dxfId="603" priority="603">
      <formula>V105&lt;-10%</formula>
    </cfRule>
    <cfRule type="expression" dxfId="602" priority="604">
      <formula>V105&gt;10%</formula>
    </cfRule>
  </conditionalFormatting>
  <conditionalFormatting sqref="W106">
    <cfRule type="expression" dxfId="601" priority="601">
      <formula>V106&lt;-10%</formula>
    </cfRule>
    <cfRule type="expression" dxfId="600" priority="602">
      <formula>V106&gt;10%</formula>
    </cfRule>
  </conditionalFormatting>
  <conditionalFormatting sqref="W109">
    <cfRule type="expression" dxfId="599" priority="599">
      <formula>V109&lt;-10%</formula>
    </cfRule>
    <cfRule type="expression" dxfId="598" priority="600">
      <formula>V109&gt;10%</formula>
    </cfRule>
  </conditionalFormatting>
  <conditionalFormatting sqref="W108">
    <cfRule type="expression" dxfId="597" priority="597">
      <formula>V108&lt;-10%</formula>
    </cfRule>
    <cfRule type="expression" dxfId="596" priority="598">
      <formula>V108&gt;10%</formula>
    </cfRule>
  </conditionalFormatting>
  <conditionalFormatting sqref="W110">
    <cfRule type="expression" dxfId="595" priority="595">
      <formula>V110&lt;-10%</formula>
    </cfRule>
    <cfRule type="expression" dxfId="594" priority="596">
      <formula>V110&gt;10%</formula>
    </cfRule>
  </conditionalFormatting>
  <conditionalFormatting sqref="W111">
    <cfRule type="expression" dxfId="593" priority="593">
      <formula>V111&lt;-10%</formula>
    </cfRule>
    <cfRule type="expression" dxfId="592" priority="594">
      <formula>V111&gt;10%</formula>
    </cfRule>
  </conditionalFormatting>
  <conditionalFormatting sqref="W112">
    <cfRule type="expression" dxfId="591" priority="591">
      <formula>V112&lt;-10%</formula>
    </cfRule>
    <cfRule type="expression" dxfId="590" priority="592">
      <formula>V112&gt;10%</formula>
    </cfRule>
  </conditionalFormatting>
  <conditionalFormatting sqref="W113">
    <cfRule type="expression" dxfId="589" priority="589">
      <formula>V113&lt;-10%</formula>
    </cfRule>
    <cfRule type="expression" dxfId="588" priority="590">
      <formula>V113&gt;10%</formula>
    </cfRule>
  </conditionalFormatting>
  <conditionalFormatting sqref="W114">
    <cfRule type="expression" dxfId="587" priority="587">
      <formula>V114&lt;-10%</formula>
    </cfRule>
    <cfRule type="expression" dxfId="586" priority="588">
      <formula>V114&gt;10%</formula>
    </cfRule>
  </conditionalFormatting>
  <conditionalFormatting sqref="W115">
    <cfRule type="expression" dxfId="585" priority="585">
      <formula>V115&lt;-10%</formula>
    </cfRule>
    <cfRule type="expression" dxfId="584" priority="586">
      <formula>V115&gt;10%</formula>
    </cfRule>
  </conditionalFormatting>
  <conditionalFormatting sqref="W79">
    <cfRule type="expression" dxfId="583" priority="583">
      <formula>V79&lt;-10%</formula>
    </cfRule>
    <cfRule type="expression" dxfId="582" priority="584">
      <formula>V79&gt;10%</formula>
    </cfRule>
  </conditionalFormatting>
  <conditionalFormatting sqref="AE7">
    <cfRule type="expression" dxfId="581" priority="581">
      <formula>AD7&lt;-10%</formula>
    </cfRule>
    <cfRule type="expression" dxfId="580" priority="582">
      <formula>AD7&gt;10%</formula>
    </cfRule>
  </conditionalFormatting>
  <conditionalFormatting sqref="AE6">
    <cfRule type="expression" dxfId="579" priority="579">
      <formula>AD6&lt;-10%</formula>
    </cfRule>
    <cfRule type="expression" dxfId="578" priority="580">
      <formula>AD6&gt;10%</formula>
    </cfRule>
  </conditionalFormatting>
  <conditionalFormatting sqref="AE8">
    <cfRule type="expression" dxfId="577" priority="577">
      <formula>AD8&lt;-10%</formula>
    </cfRule>
    <cfRule type="expression" dxfId="576" priority="578">
      <formula>AD8&gt;10%</formula>
    </cfRule>
  </conditionalFormatting>
  <conditionalFormatting sqref="AE9">
    <cfRule type="expression" dxfId="575" priority="575">
      <formula>AD9&lt;-10%</formula>
    </cfRule>
    <cfRule type="expression" dxfId="574" priority="576">
      <formula>AD9&gt;10%</formula>
    </cfRule>
  </conditionalFormatting>
  <conditionalFormatting sqref="AE10">
    <cfRule type="expression" dxfId="573" priority="573">
      <formula>AD10&lt;-10%</formula>
    </cfRule>
    <cfRule type="expression" dxfId="572" priority="574">
      <formula>AD10&gt;10%</formula>
    </cfRule>
  </conditionalFormatting>
  <conditionalFormatting sqref="AE11">
    <cfRule type="expression" dxfId="571" priority="571">
      <formula>AD11&lt;-10%</formula>
    </cfRule>
    <cfRule type="expression" dxfId="570" priority="572">
      <formula>AD11&gt;10%</formula>
    </cfRule>
  </conditionalFormatting>
  <conditionalFormatting sqref="AE12">
    <cfRule type="expression" dxfId="569" priority="569">
      <formula>AD12&lt;-10%</formula>
    </cfRule>
    <cfRule type="expression" dxfId="568" priority="570">
      <formula>AD12&gt;10%</formula>
    </cfRule>
  </conditionalFormatting>
  <conditionalFormatting sqref="AE13">
    <cfRule type="expression" dxfId="567" priority="567">
      <formula>AD13&lt;-10%</formula>
    </cfRule>
    <cfRule type="expression" dxfId="566" priority="568">
      <formula>AD13&gt;10%</formula>
    </cfRule>
  </conditionalFormatting>
  <conditionalFormatting sqref="AE16">
    <cfRule type="expression" dxfId="565" priority="565">
      <formula>AD16&lt;-10%</formula>
    </cfRule>
    <cfRule type="expression" dxfId="564" priority="566">
      <formula>AD16&gt;10%</formula>
    </cfRule>
  </conditionalFormatting>
  <conditionalFormatting sqref="AE15">
    <cfRule type="expression" dxfId="563" priority="563">
      <formula>AD15&lt;-10%</formula>
    </cfRule>
    <cfRule type="expression" dxfId="562" priority="564">
      <formula>AD15&gt;10%</formula>
    </cfRule>
  </conditionalFormatting>
  <conditionalFormatting sqref="AE17">
    <cfRule type="expression" dxfId="561" priority="561">
      <formula>AD17&lt;-10%</formula>
    </cfRule>
    <cfRule type="expression" dxfId="560" priority="562">
      <formula>AD17&gt;10%</formula>
    </cfRule>
  </conditionalFormatting>
  <conditionalFormatting sqref="AE18">
    <cfRule type="expression" dxfId="559" priority="559">
      <formula>AD18&lt;-10%</formula>
    </cfRule>
    <cfRule type="expression" dxfId="558" priority="560">
      <formula>AD18&gt;10%</formula>
    </cfRule>
  </conditionalFormatting>
  <conditionalFormatting sqref="AE19">
    <cfRule type="expression" dxfId="557" priority="557">
      <formula>AD19&lt;-10%</formula>
    </cfRule>
    <cfRule type="expression" dxfId="556" priority="558">
      <formula>AD19&gt;10%</formula>
    </cfRule>
  </conditionalFormatting>
  <conditionalFormatting sqref="AE20">
    <cfRule type="expression" dxfId="555" priority="555">
      <formula>AD20&lt;-10%</formula>
    </cfRule>
    <cfRule type="expression" dxfId="554" priority="556">
      <formula>AD20&gt;10%</formula>
    </cfRule>
  </conditionalFormatting>
  <conditionalFormatting sqref="AE21">
    <cfRule type="expression" dxfId="553" priority="553">
      <formula>AD21&lt;-10%</formula>
    </cfRule>
    <cfRule type="expression" dxfId="552" priority="554">
      <formula>AD21&gt;10%</formula>
    </cfRule>
  </conditionalFormatting>
  <conditionalFormatting sqref="AE22">
    <cfRule type="expression" dxfId="551" priority="551">
      <formula>AD22&lt;-10%</formula>
    </cfRule>
    <cfRule type="expression" dxfId="550" priority="552">
      <formula>AD22&gt;10%</formula>
    </cfRule>
  </conditionalFormatting>
  <conditionalFormatting sqref="AE25">
    <cfRule type="expression" dxfId="549" priority="549">
      <formula>AD25&lt;-10%</formula>
    </cfRule>
    <cfRule type="expression" dxfId="548" priority="550">
      <formula>AD25&gt;10%</formula>
    </cfRule>
  </conditionalFormatting>
  <conditionalFormatting sqref="AE24">
    <cfRule type="expression" dxfId="547" priority="547">
      <formula>AD24&lt;-10%</formula>
    </cfRule>
    <cfRule type="expression" dxfId="546" priority="548">
      <formula>AD24&gt;10%</formula>
    </cfRule>
  </conditionalFormatting>
  <conditionalFormatting sqref="AE26">
    <cfRule type="expression" dxfId="545" priority="545">
      <formula>AD26&lt;-10%</formula>
    </cfRule>
    <cfRule type="expression" dxfId="544" priority="546">
      <formula>AD26&gt;10%</formula>
    </cfRule>
  </conditionalFormatting>
  <conditionalFormatting sqref="AE27">
    <cfRule type="expression" dxfId="543" priority="543">
      <formula>AD27&lt;-10%</formula>
    </cfRule>
    <cfRule type="expression" dxfId="542" priority="544">
      <formula>AD27&gt;10%</formula>
    </cfRule>
  </conditionalFormatting>
  <conditionalFormatting sqref="AE28">
    <cfRule type="expression" dxfId="541" priority="541">
      <formula>AD28&lt;-10%</formula>
    </cfRule>
    <cfRule type="expression" dxfId="540" priority="542">
      <formula>AD28&gt;10%</formula>
    </cfRule>
  </conditionalFormatting>
  <conditionalFormatting sqref="AE29">
    <cfRule type="expression" dxfId="539" priority="539">
      <formula>AD29&lt;-10%</formula>
    </cfRule>
    <cfRule type="expression" dxfId="538" priority="540">
      <formula>AD29&gt;10%</formula>
    </cfRule>
  </conditionalFormatting>
  <conditionalFormatting sqref="AE30">
    <cfRule type="expression" dxfId="537" priority="537">
      <formula>AD30&lt;-10%</formula>
    </cfRule>
    <cfRule type="expression" dxfId="536" priority="538">
      <formula>AD30&gt;10%</formula>
    </cfRule>
  </conditionalFormatting>
  <conditionalFormatting sqref="AE31">
    <cfRule type="expression" dxfId="535" priority="535">
      <formula>AD31&lt;-10%</formula>
    </cfRule>
    <cfRule type="expression" dxfId="534" priority="536">
      <formula>AD31&gt;10%</formula>
    </cfRule>
  </conditionalFormatting>
  <conditionalFormatting sqref="AE34">
    <cfRule type="expression" dxfId="533" priority="533">
      <formula>AD34&lt;-10%</formula>
    </cfRule>
    <cfRule type="expression" dxfId="532" priority="534">
      <formula>AD34&gt;10%</formula>
    </cfRule>
  </conditionalFormatting>
  <conditionalFormatting sqref="AE33">
    <cfRule type="expression" dxfId="531" priority="531">
      <formula>AD33&lt;-10%</formula>
    </cfRule>
    <cfRule type="expression" dxfId="530" priority="532">
      <formula>AD33&gt;10%</formula>
    </cfRule>
  </conditionalFormatting>
  <conditionalFormatting sqref="AE35">
    <cfRule type="expression" dxfId="529" priority="529">
      <formula>AD35&lt;-10%</formula>
    </cfRule>
    <cfRule type="expression" dxfId="528" priority="530">
      <formula>AD35&gt;10%</formula>
    </cfRule>
  </conditionalFormatting>
  <conditionalFormatting sqref="AE36">
    <cfRule type="expression" dxfId="527" priority="527">
      <formula>AD36&lt;-10%</formula>
    </cfRule>
    <cfRule type="expression" dxfId="526" priority="528">
      <formula>AD36&gt;10%</formula>
    </cfRule>
  </conditionalFormatting>
  <conditionalFormatting sqref="AE37">
    <cfRule type="expression" dxfId="525" priority="525">
      <formula>AD37&lt;-10%</formula>
    </cfRule>
    <cfRule type="expression" dxfId="524" priority="526">
      <formula>AD37&gt;10%</formula>
    </cfRule>
  </conditionalFormatting>
  <conditionalFormatting sqref="AE38">
    <cfRule type="expression" dxfId="523" priority="523">
      <formula>AD38&lt;-10%</formula>
    </cfRule>
    <cfRule type="expression" dxfId="522" priority="524">
      <formula>AD38&gt;10%</formula>
    </cfRule>
  </conditionalFormatting>
  <conditionalFormatting sqref="AE39">
    <cfRule type="expression" dxfId="521" priority="521">
      <formula>AD39&lt;-10%</formula>
    </cfRule>
    <cfRule type="expression" dxfId="520" priority="522">
      <formula>AD39&gt;10%</formula>
    </cfRule>
  </conditionalFormatting>
  <conditionalFormatting sqref="AE40">
    <cfRule type="expression" dxfId="519" priority="519">
      <formula>AD40&lt;-10%</formula>
    </cfRule>
    <cfRule type="expression" dxfId="518" priority="520">
      <formula>AD40&gt;10%</formula>
    </cfRule>
  </conditionalFormatting>
  <conditionalFormatting sqref="AE43">
    <cfRule type="expression" dxfId="517" priority="517">
      <formula>AD43&lt;-10%</formula>
    </cfRule>
    <cfRule type="expression" dxfId="516" priority="518">
      <formula>AD43&gt;10%</formula>
    </cfRule>
  </conditionalFormatting>
  <conditionalFormatting sqref="AE42">
    <cfRule type="expression" dxfId="515" priority="515">
      <formula>AD42&lt;-10%</formula>
    </cfRule>
    <cfRule type="expression" dxfId="514" priority="516">
      <formula>AD42&gt;10%</formula>
    </cfRule>
  </conditionalFormatting>
  <conditionalFormatting sqref="AE44">
    <cfRule type="expression" dxfId="513" priority="513">
      <formula>AD44&lt;-10%</formula>
    </cfRule>
    <cfRule type="expression" dxfId="512" priority="514">
      <formula>AD44&gt;10%</formula>
    </cfRule>
  </conditionalFormatting>
  <conditionalFormatting sqref="AE45">
    <cfRule type="expression" dxfId="511" priority="511">
      <formula>AD45&lt;-10%</formula>
    </cfRule>
    <cfRule type="expression" dxfId="510" priority="512">
      <formula>AD45&gt;10%</formula>
    </cfRule>
  </conditionalFormatting>
  <conditionalFormatting sqref="AE46">
    <cfRule type="expression" dxfId="509" priority="509">
      <formula>AD46&lt;-10%</formula>
    </cfRule>
    <cfRule type="expression" dxfId="508" priority="510">
      <formula>AD46&gt;10%</formula>
    </cfRule>
  </conditionalFormatting>
  <conditionalFormatting sqref="AE47">
    <cfRule type="expression" dxfId="507" priority="507">
      <formula>AD47&lt;-10%</formula>
    </cfRule>
    <cfRule type="expression" dxfId="506" priority="508">
      <formula>AD47&gt;10%</formula>
    </cfRule>
  </conditionalFormatting>
  <conditionalFormatting sqref="AE48">
    <cfRule type="expression" dxfId="505" priority="505">
      <formula>AD48&lt;-10%</formula>
    </cfRule>
    <cfRule type="expression" dxfId="504" priority="506">
      <formula>AD48&gt;10%</formula>
    </cfRule>
  </conditionalFormatting>
  <conditionalFormatting sqref="AE49">
    <cfRule type="expression" dxfId="503" priority="503">
      <formula>AD49&lt;-10%</formula>
    </cfRule>
    <cfRule type="expression" dxfId="502" priority="504">
      <formula>AD49&gt;10%</formula>
    </cfRule>
  </conditionalFormatting>
  <conditionalFormatting sqref="AE52">
    <cfRule type="expression" dxfId="501" priority="501">
      <formula>AD52&lt;-10%</formula>
    </cfRule>
    <cfRule type="expression" dxfId="500" priority="502">
      <formula>AD52&gt;10%</formula>
    </cfRule>
  </conditionalFormatting>
  <conditionalFormatting sqref="AE51">
    <cfRule type="expression" dxfId="499" priority="499">
      <formula>AD51&lt;-10%</formula>
    </cfRule>
    <cfRule type="expression" dxfId="498" priority="500">
      <formula>AD51&gt;10%</formula>
    </cfRule>
  </conditionalFormatting>
  <conditionalFormatting sqref="AE53">
    <cfRule type="expression" dxfId="497" priority="497">
      <formula>AD53&lt;-10%</formula>
    </cfRule>
    <cfRule type="expression" dxfId="496" priority="498">
      <formula>AD53&gt;10%</formula>
    </cfRule>
  </conditionalFormatting>
  <conditionalFormatting sqref="AE54">
    <cfRule type="expression" dxfId="495" priority="495">
      <formula>AD54&lt;-10%</formula>
    </cfRule>
    <cfRule type="expression" dxfId="494" priority="496">
      <formula>AD54&gt;10%</formula>
    </cfRule>
  </conditionalFormatting>
  <conditionalFormatting sqref="AE55">
    <cfRule type="expression" dxfId="493" priority="493">
      <formula>AD55&lt;-10%</formula>
    </cfRule>
    <cfRule type="expression" dxfId="492" priority="494">
      <formula>AD55&gt;10%</formula>
    </cfRule>
  </conditionalFormatting>
  <conditionalFormatting sqref="AE56">
    <cfRule type="expression" dxfId="491" priority="491">
      <formula>AD56&lt;-10%</formula>
    </cfRule>
    <cfRule type="expression" dxfId="490" priority="492">
      <formula>AD56&gt;10%</formula>
    </cfRule>
  </conditionalFormatting>
  <conditionalFormatting sqref="AE57">
    <cfRule type="expression" dxfId="489" priority="489">
      <formula>AD57&lt;-10%</formula>
    </cfRule>
    <cfRule type="expression" dxfId="488" priority="490">
      <formula>AD57&gt;10%</formula>
    </cfRule>
  </conditionalFormatting>
  <conditionalFormatting sqref="AE58">
    <cfRule type="expression" dxfId="487" priority="487">
      <formula>AD58&lt;-10%</formula>
    </cfRule>
    <cfRule type="expression" dxfId="486" priority="488">
      <formula>AD58&gt;10%</formula>
    </cfRule>
  </conditionalFormatting>
  <conditionalFormatting sqref="AE61">
    <cfRule type="expression" dxfId="485" priority="485">
      <formula>AD61&lt;-10%</formula>
    </cfRule>
    <cfRule type="expression" dxfId="484" priority="486">
      <formula>AD61&gt;10%</formula>
    </cfRule>
  </conditionalFormatting>
  <conditionalFormatting sqref="AE60">
    <cfRule type="expression" dxfId="483" priority="483">
      <formula>AD60&lt;-10%</formula>
    </cfRule>
    <cfRule type="expression" dxfId="482" priority="484">
      <formula>AD60&gt;10%</formula>
    </cfRule>
  </conditionalFormatting>
  <conditionalFormatting sqref="AE62">
    <cfRule type="expression" dxfId="481" priority="481">
      <formula>AD62&lt;-10%</formula>
    </cfRule>
    <cfRule type="expression" dxfId="480" priority="482">
      <formula>AD62&gt;10%</formula>
    </cfRule>
  </conditionalFormatting>
  <conditionalFormatting sqref="AE63">
    <cfRule type="expression" dxfId="479" priority="479">
      <formula>AD63&lt;-10%</formula>
    </cfRule>
    <cfRule type="expression" dxfId="478" priority="480">
      <formula>AD63&gt;10%</formula>
    </cfRule>
  </conditionalFormatting>
  <conditionalFormatting sqref="AE64">
    <cfRule type="expression" dxfId="477" priority="477">
      <formula>AD64&lt;-10%</formula>
    </cfRule>
    <cfRule type="expression" dxfId="476" priority="478">
      <formula>AD64&gt;10%</formula>
    </cfRule>
  </conditionalFormatting>
  <conditionalFormatting sqref="AE65">
    <cfRule type="expression" dxfId="475" priority="475">
      <formula>AD65&lt;-10%</formula>
    </cfRule>
    <cfRule type="expression" dxfId="474" priority="476">
      <formula>AD65&gt;10%</formula>
    </cfRule>
  </conditionalFormatting>
  <conditionalFormatting sqref="AE66">
    <cfRule type="expression" dxfId="473" priority="473">
      <formula>AD66&lt;-10%</formula>
    </cfRule>
    <cfRule type="expression" dxfId="472" priority="474">
      <formula>AD66&gt;10%</formula>
    </cfRule>
  </conditionalFormatting>
  <conditionalFormatting sqref="AE67">
    <cfRule type="expression" dxfId="471" priority="471">
      <formula>AD67&lt;-10%</formula>
    </cfRule>
    <cfRule type="expression" dxfId="470" priority="472">
      <formula>AD67&gt;10%</formula>
    </cfRule>
  </conditionalFormatting>
  <conditionalFormatting sqref="AE70">
    <cfRule type="expression" dxfId="469" priority="469">
      <formula>AD70&lt;-10%</formula>
    </cfRule>
    <cfRule type="expression" dxfId="468" priority="470">
      <formula>AD70&gt;10%</formula>
    </cfRule>
  </conditionalFormatting>
  <conditionalFormatting sqref="AE69">
    <cfRule type="expression" dxfId="467" priority="467">
      <formula>AD69&lt;-10%</formula>
    </cfRule>
    <cfRule type="expression" dxfId="466" priority="468">
      <formula>AD69&gt;10%</formula>
    </cfRule>
  </conditionalFormatting>
  <conditionalFormatting sqref="AE71">
    <cfRule type="expression" dxfId="465" priority="465">
      <formula>AD71&lt;-10%</formula>
    </cfRule>
    <cfRule type="expression" dxfId="464" priority="466">
      <formula>AD71&gt;10%</formula>
    </cfRule>
  </conditionalFormatting>
  <conditionalFormatting sqref="AE72">
    <cfRule type="expression" dxfId="463" priority="463">
      <formula>AD72&lt;-10%</formula>
    </cfRule>
    <cfRule type="expression" dxfId="462" priority="464">
      <formula>AD72&gt;10%</formula>
    </cfRule>
  </conditionalFormatting>
  <conditionalFormatting sqref="AE73">
    <cfRule type="expression" dxfId="461" priority="461">
      <formula>AD73&lt;-10%</formula>
    </cfRule>
    <cfRule type="expression" dxfId="460" priority="462">
      <formula>AD73&gt;10%</formula>
    </cfRule>
  </conditionalFormatting>
  <conditionalFormatting sqref="AE74">
    <cfRule type="expression" dxfId="459" priority="459">
      <formula>AD74&lt;-10%</formula>
    </cfRule>
    <cfRule type="expression" dxfId="458" priority="460">
      <formula>AD74&gt;10%</formula>
    </cfRule>
  </conditionalFormatting>
  <conditionalFormatting sqref="AE75">
    <cfRule type="expression" dxfId="457" priority="457">
      <formula>AD75&lt;-10%</formula>
    </cfRule>
    <cfRule type="expression" dxfId="456" priority="458">
      <formula>AD75&gt;10%</formula>
    </cfRule>
  </conditionalFormatting>
  <conditionalFormatting sqref="AE76">
    <cfRule type="expression" dxfId="455" priority="455">
      <formula>AD76&lt;-10%</formula>
    </cfRule>
    <cfRule type="expression" dxfId="454" priority="456">
      <formula>AD76&gt;10%</formula>
    </cfRule>
  </conditionalFormatting>
  <conditionalFormatting sqref="AE82">
    <cfRule type="expression" dxfId="453" priority="453">
      <formula>AD82&lt;-10%</formula>
    </cfRule>
    <cfRule type="expression" dxfId="452" priority="454">
      <formula>AD82&gt;10%</formula>
    </cfRule>
  </conditionalFormatting>
  <conditionalFormatting sqref="AE81">
    <cfRule type="expression" dxfId="451" priority="451">
      <formula>AD81&lt;-10%</formula>
    </cfRule>
    <cfRule type="expression" dxfId="450" priority="452">
      <formula>AD81&gt;10%</formula>
    </cfRule>
  </conditionalFormatting>
  <conditionalFormatting sqref="AE83">
    <cfRule type="expression" dxfId="449" priority="449">
      <formula>AD83&lt;-10%</formula>
    </cfRule>
    <cfRule type="expression" dxfId="448" priority="450">
      <formula>AD83&gt;10%</formula>
    </cfRule>
  </conditionalFormatting>
  <conditionalFormatting sqref="AE84">
    <cfRule type="expression" dxfId="447" priority="447">
      <formula>AD84&lt;-10%</formula>
    </cfRule>
    <cfRule type="expression" dxfId="446" priority="448">
      <formula>AD84&gt;10%</formula>
    </cfRule>
  </conditionalFormatting>
  <conditionalFormatting sqref="AE85">
    <cfRule type="expression" dxfId="445" priority="445">
      <formula>AD85&lt;-10%</formula>
    </cfRule>
    <cfRule type="expression" dxfId="444" priority="446">
      <formula>AD85&gt;10%</formula>
    </cfRule>
  </conditionalFormatting>
  <conditionalFormatting sqref="AE86">
    <cfRule type="expression" dxfId="443" priority="443">
      <formula>AD86&lt;-10%</formula>
    </cfRule>
    <cfRule type="expression" dxfId="442" priority="444">
      <formula>AD86&gt;10%</formula>
    </cfRule>
  </conditionalFormatting>
  <conditionalFormatting sqref="AE87">
    <cfRule type="expression" dxfId="441" priority="441">
      <formula>AD87&lt;-10%</formula>
    </cfRule>
    <cfRule type="expression" dxfId="440" priority="442">
      <formula>AD87&gt;10%</formula>
    </cfRule>
  </conditionalFormatting>
  <conditionalFormatting sqref="AE88">
    <cfRule type="expression" dxfId="439" priority="439">
      <formula>AD88&lt;-10%</formula>
    </cfRule>
    <cfRule type="expression" dxfId="438" priority="440">
      <formula>AD88&gt;10%</formula>
    </cfRule>
  </conditionalFormatting>
  <conditionalFormatting sqref="AE91">
    <cfRule type="expression" dxfId="437" priority="437">
      <formula>AD91&lt;-10%</formula>
    </cfRule>
    <cfRule type="expression" dxfId="436" priority="438">
      <formula>AD91&gt;10%</formula>
    </cfRule>
  </conditionalFormatting>
  <conditionalFormatting sqref="AE90">
    <cfRule type="expression" dxfId="435" priority="435">
      <formula>AD90&lt;-10%</formula>
    </cfRule>
    <cfRule type="expression" dxfId="434" priority="436">
      <formula>AD90&gt;10%</formula>
    </cfRule>
  </conditionalFormatting>
  <conditionalFormatting sqref="AE92">
    <cfRule type="expression" dxfId="433" priority="433">
      <formula>AD92&lt;-10%</formula>
    </cfRule>
    <cfRule type="expression" dxfId="432" priority="434">
      <formula>AD92&gt;10%</formula>
    </cfRule>
  </conditionalFormatting>
  <conditionalFormatting sqref="AE93">
    <cfRule type="expression" dxfId="431" priority="431">
      <formula>AD93&lt;-10%</formula>
    </cfRule>
    <cfRule type="expression" dxfId="430" priority="432">
      <formula>AD93&gt;10%</formula>
    </cfRule>
  </conditionalFormatting>
  <conditionalFormatting sqref="AE94">
    <cfRule type="expression" dxfId="429" priority="429">
      <formula>AD94&lt;-10%</formula>
    </cfRule>
    <cfRule type="expression" dxfId="428" priority="430">
      <formula>AD94&gt;10%</formula>
    </cfRule>
  </conditionalFormatting>
  <conditionalFormatting sqref="AE95">
    <cfRule type="expression" dxfId="427" priority="427">
      <formula>AD95&lt;-10%</formula>
    </cfRule>
    <cfRule type="expression" dxfId="426" priority="428">
      <formula>AD95&gt;10%</formula>
    </cfRule>
  </conditionalFormatting>
  <conditionalFormatting sqref="AE96">
    <cfRule type="expression" dxfId="425" priority="425">
      <formula>AD96&lt;-10%</formula>
    </cfRule>
    <cfRule type="expression" dxfId="424" priority="426">
      <formula>AD96&gt;10%</formula>
    </cfRule>
  </conditionalFormatting>
  <conditionalFormatting sqref="AE97">
    <cfRule type="expression" dxfId="423" priority="423">
      <formula>AD97&lt;-10%</formula>
    </cfRule>
    <cfRule type="expression" dxfId="422" priority="424">
      <formula>AD97&gt;10%</formula>
    </cfRule>
  </conditionalFormatting>
  <conditionalFormatting sqref="AE100">
    <cfRule type="expression" dxfId="421" priority="421">
      <formula>AD100&lt;-10%</formula>
    </cfRule>
    <cfRule type="expression" dxfId="420" priority="422">
      <formula>AD100&gt;10%</formula>
    </cfRule>
  </conditionalFormatting>
  <conditionalFormatting sqref="AE99">
    <cfRule type="expression" dxfId="419" priority="419">
      <formula>AD99&lt;-10%</formula>
    </cfRule>
    <cfRule type="expression" dxfId="418" priority="420">
      <formula>AD99&gt;10%</formula>
    </cfRule>
  </conditionalFormatting>
  <conditionalFormatting sqref="AE101">
    <cfRule type="expression" dxfId="417" priority="417">
      <formula>AD101&lt;-10%</formula>
    </cfRule>
    <cfRule type="expression" dxfId="416" priority="418">
      <formula>AD101&gt;10%</formula>
    </cfRule>
  </conditionalFormatting>
  <conditionalFormatting sqref="AE102">
    <cfRule type="expression" dxfId="415" priority="415">
      <formula>AD102&lt;-10%</formula>
    </cfRule>
    <cfRule type="expression" dxfId="414" priority="416">
      <formula>AD102&gt;10%</formula>
    </cfRule>
  </conditionalFormatting>
  <conditionalFormatting sqref="AE103">
    <cfRule type="expression" dxfId="413" priority="413">
      <formula>AD103&lt;-10%</formula>
    </cfRule>
    <cfRule type="expression" dxfId="412" priority="414">
      <formula>AD103&gt;10%</formula>
    </cfRule>
  </conditionalFormatting>
  <conditionalFormatting sqref="AE104">
    <cfRule type="expression" dxfId="411" priority="411">
      <formula>AD104&lt;-10%</formula>
    </cfRule>
    <cfRule type="expression" dxfId="410" priority="412">
      <formula>AD104&gt;10%</formula>
    </cfRule>
  </conditionalFormatting>
  <conditionalFormatting sqref="AE105">
    <cfRule type="expression" dxfId="409" priority="409">
      <formula>AD105&lt;-10%</formula>
    </cfRule>
    <cfRule type="expression" dxfId="408" priority="410">
      <formula>AD105&gt;10%</formula>
    </cfRule>
  </conditionalFormatting>
  <conditionalFormatting sqref="AE106">
    <cfRule type="expression" dxfId="407" priority="407">
      <formula>AD106&lt;-10%</formula>
    </cfRule>
    <cfRule type="expression" dxfId="406" priority="408">
      <formula>AD106&gt;10%</formula>
    </cfRule>
  </conditionalFormatting>
  <conditionalFormatting sqref="AE109">
    <cfRule type="expression" dxfId="405" priority="405">
      <formula>AD109&lt;-10%</formula>
    </cfRule>
    <cfRule type="expression" dxfId="404" priority="406">
      <formula>AD109&gt;10%</formula>
    </cfRule>
  </conditionalFormatting>
  <conditionalFormatting sqref="AE108">
    <cfRule type="expression" dxfId="403" priority="403">
      <formula>AD108&lt;-10%</formula>
    </cfRule>
    <cfRule type="expression" dxfId="402" priority="404">
      <formula>AD108&gt;10%</formula>
    </cfRule>
  </conditionalFormatting>
  <conditionalFormatting sqref="AE110">
    <cfRule type="expression" dxfId="401" priority="401">
      <formula>AD110&lt;-10%</formula>
    </cfRule>
    <cfRule type="expression" dxfId="400" priority="402">
      <formula>AD110&gt;10%</formula>
    </cfRule>
  </conditionalFormatting>
  <conditionalFormatting sqref="AE111">
    <cfRule type="expression" dxfId="399" priority="399">
      <formula>AD111&lt;-10%</formula>
    </cfRule>
    <cfRule type="expression" dxfId="398" priority="400">
      <formula>AD111&gt;10%</formula>
    </cfRule>
  </conditionalFormatting>
  <conditionalFormatting sqref="AE112">
    <cfRule type="expression" dxfId="397" priority="397">
      <formula>AD112&lt;-10%</formula>
    </cfRule>
    <cfRule type="expression" dxfId="396" priority="398">
      <formula>AD112&gt;10%</formula>
    </cfRule>
  </conditionalFormatting>
  <conditionalFormatting sqref="AE113">
    <cfRule type="expression" dxfId="395" priority="395">
      <formula>AD113&lt;-10%</formula>
    </cfRule>
    <cfRule type="expression" dxfId="394" priority="396">
      <formula>AD113&gt;10%</formula>
    </cfRule>
  </conditionalFormatting>
  <conditionalFormatting sqref="AE114">
    <cfRule type="expression" dxfId="393" priority="393">
      <formula>AD114&lt;-10%</formula>
    </cfRule>
    <cfRule type="expression" dxfId="392" priority="394">
      <formula>AD114&gt;10%</formula>
    </cfRule>
  </conditionalFormatting>
  <conditionalFormatting sqref="AE115">
    <cfRule type="expression" dxfId="391" priority="391">
      <formula>AD115&lt;-10%</formula>
    </cfRule>
    <cfRule type="expression" dxfId="390" priority="392">
      <formula>AD115&gt;10%</formula>
    </cfRule>
  </conditionalFormatting>
  <conditionalFormatting sqref="AE79">
    <cfRule type="expression" dxfId="389" priority="389">
      <formula>AD79&lt;-10%</formula>
    </cfRule>
    <cfRule type="expression" dxfId="388" priority="390">
      <formula>AD79&gt;10%</formula>
    </cfRule>
  </conditionalFormatting>
  <conditionalFormatting sqref="AM7">
    <cfRule type="expression" dxfId="387" priority="387">
      <formula>AL7&lt;-10%</formula>
    </cfRule>
    <cfRule type="expression" dxfId="386" priority="388">
      <formula>AL7&gt;10%</formula>
    </cfRule>
  </conditionalFormatting>
  <conditionalFormatting sqref="AM6">
    <cfRule type="expression" dxfId="385" priority="385">
      <formula>AL6&lt;-10%</formula>
    </cfRule>
    <cfRule type="expression" dxfId="384" priority="386">
      <formula>AL6&gt;10%</formula>
    </cfRule>
  </conditionalFormatting>
  <conditionalFormatting sqref="AM8">
    <cfRule type="expression" dxfId="383" priority="383">
      <formula>AL8&lt;-10%</formula>
    </cfRule>
    <cfRule type="expression" dxfId="382" priority="384">
      <formula>AL8&gt;10%</formula>
    </cfRule>
  </conditionalFormatting>
  <conditionalFormatting sqref="AM9">
    <cfRule type="expression" dxfId="381" priority="381">
      <formula>AL9&lt;-10%</formula>
    </cfRule>
    <cfRule type="expression" dxfId="380" priority="382">
      <formula>AL9&gt;10%</formula>
    </cfRule>
  </conditionalFormatting>
  <conditionalFormatting sqref="AM10">
    <cfRule type="expression" dxfId="379" priority="379">
      <formula>AL10&lt;-10%</formula>
    </cfRule>
    <cfRule type="expression" dxfId="378" priority="380">
      <formula>AL10&gt;10%</formula>
    </cfRule>
  </conditionalFormatting>
  <conditionalFormatting sqref="AM11">
    <cfRule type="expression" dxfId="377" priority="377">
      <formula>AL11&lt;-10%</formula>
    </cfRule>
    <cfRule type="expression" dxfId="376" priority="378">
      <formula>AL11&gt;10%</formula>
    </cfRule>
  </conditionalFormatting>
  <conditionalFormatting sqref="AM12">
    <cfRule type="expression" dxfId="375" priority="375">
      <formula>AL12&lt;-10%</formula>
    </cfRule>
    <cfRule type="expression" dxfId="374" priority="376">
      <formula>AL12&gt;10%</formula>
    </cfRule>
  </conditionalFormatting>
  <conditionalFormatting sqref="AM13">
    <cfRule type="expression" dxfId="373" priority="373">
      <formula>AL13&lt;-10%</formula>
    </cfRule>
    <cfRule type="expression" dxfId="372" priority="374">
      <formula>AL13&gt;10%</formula>
    </cfRule>
  </conditionalFormatting>
  <conditionalFormatting sqref="AM16">
    <cfRule type="expression" dxfId="371" priority="371">
      <formula>AL16&lt;-10%</formula>
    </cfRule>
    <cfRule type="expression" dxfId="370" priority="372">
      <formula>AL16&gt;10%</formula>
    </cfRule>
  </conditionalFormatting>
  <conditionalFormatting sqref="AM15">
    <cfRule type="expression" dxfId="369" priority="369">
      <formula>AL15&lt;-10%</formula>
    </cfRule>
    <cfRule type="expression" dxfId="368" priority="370">
      <formula>AL15&gt;10%</formula>
    </cfRule>
  </conditionalFormatting>
  <conditionalFormatting sqref="AM17">
    <cfRule type="expression" dxfId="367" priority="367">
      <formula>AL17&lt;-10%</formula>
    </cfRule>
    <cfRule type="expression" dxfId="366" priority="368">
      <formula>AL17&gt;10%</formula>
    </cfRule>
  </conditionalFormatting>
  <conditionalFormatting sqref="AM18">
    <cfRule type="expression" dxfId="365" priority="365">
      <formula>AL18&lt;-10%</formula>
    </cfRule>
    <cfRule type="expression" dxfId="364" priority="366">
      <formula>AL18&gt;10%</formula>
    </cfRule>
  </conditionalFormatting>
  <conditionalFormatting sqref="AM19">
    <cfRule type="expression" dxfId="363" priority="363">
      <formula>AL19&lt;-10%</formula>
    </cfRule>
    <cfRule type="expression" dxfId="362" priority="364">
      <formula>AL19&gt;10%</formula>
    </cfRule>
  </conditionalFormatting>
  <conditionalFormatting sqref="AM20">
    <cfRule type="expression" dxfId="361" priority="361">
      <formula>AL20&lt;-10%</formula>
    </cfRule>
    <cfRule type="expression" dxfId="360" priority="362">
      <formula>AL20&gt;10%</formula>
    </cfRule>
  </conditionalFormatting>
  <conditionalFormatting sqref="AM21">
    <cfRule type="expression" dxfId="359" priority="359">
      <formula>AL21&lt;-10%</formula>
    </cfRule>
    <cfRule type="expression" dxfId="358" priority="360">
      <formula>AL21&gt;10%</formula>
    </cfRule>
  </conditionalFormatting>
  <conditionalFormatting sqref="AM22">
    <cfRule type="expression" dxfId="357" priority="357">
      <formula>AL22&lt;-10%</formula>
    </cfRule>
    <cfRule type="expression" dxfId="356" priority="358">
      <formula>AL22&gt;10%</formula>
    </cfRule>
  </conditionalFormatting>
  <conditionalFormatting sqref="AM25">
    <cfRule type="expression" dxfId="355" priority="355">
      <formula>AL25&lt;-10%</formula>
    </cfRule>
    <cfRule type="expression" dxfId="354" priority="356">
      <formula>AL25&gt;10%</formula>
    </cfRule>
  </conditionalFormatting>
  <conditionalFormatting sqref="AM24">
    <cfRule type="expression" dxfId="353" priority="353">
      <formula>AL24&lt;-10%</formula>
    </cfRule>
    <cfRule type="expression" dxfId="352" priority="354">
      <formula>AL24&gt;10%</formula>
    </cfRule>
  </conditionalFormatting>
  <conditionalFormatting sqref="AM26">
    <cfRule type="expression" dxfId="351" priority="351">
      <formula>AL26&lt;-10%</formula>
    </cfRule>
    <cfRule type="expression" dxfId="350" priority="352">
      <formula>AL26&gt;10%</formula>
    </cfRule>
  </conditionalFormatting>
  <conditionalFormatting sqref="AM27">
    <cfRule type="expression" dxfId="349" priority="349">
      <formula>AL27&lt;-10%</formula>
    </cfRule>
    <cfRule type="expression" dxfId="348" priority="350">
      <formula>AL27&gt;10%</formula>
    </cfRule>
  </conditionalFormatting>
  <conditionalFormatting sqref="AM28">
    <cfRule type="expression" dxfId="347" priority="347">
      <formula>AL28&lt;-10%</formula>
    </cfRule>
    <cfRule type="expression" dxfId="346" priority="348">
      <formula>AL28&gt;10%</formula>
    </cfRule>
  </conditionalFormatting>
  <conditionalFormatting sqref="AM29">
    <cfRule type="expression" dxfId="345" priority="345">
      <formula>AL29&lt;-10%</formula>
    </cfRule>
    <cfRule type="expression" dxfId="344" priority="346">
      <formula>AL29&gt;10%</formula>
    </cfRule>
  </conditionalFormatting>
  <conditionalFormatting sqref="AM30">
    <cfRule type="expression" dxfId="343" priority="343">
      <formula>AL30&lt;-10%</formula>
    </cfRule>
    <cfRule type="expression" dxfId="342" priority="344">
      <formula>AL30&gt;10%</formula>
    </cfRule>
  </conditionalFormatting>
  <conditionalFormatting sqref="AM31">
    <cfRule type="expression" dxfId="341" priority="341">
      <formula>AL31&lt;-10%</formula>
    </cfRule>
    <cfRule type="expression" dxfId="340" priority="342">
      <formula>AL31&gt;10%</formula>
    </cfRule>
  </conditionalFormatting>
  <conditionalFormatting sqref="AM34">
    <cfRule type="expression" dxfId="339" priority="339">
      <formula>AL34&lt;-10%</formula>
    </cfRule>
    <cfRule type="expression" dxfId="338" priority="340">
      <formula>AL34&gt;10%</formula>
    </cfRule>
  </conditionalFormatting>
  <conditionalFormatting sqref="AM33">
    <cfRule type="expression" dxfId="337" priority="337">
      <formula>AL33&lt;-10%</formula>
    </cfRule>
    <cfRule type="expression" dxfId="336" priority="338">
      <formula>AL33&gt;10%</formula>
    </cfRule>
  </conditionalFormatting>
  <conditionalFormatting sqref="AM35">
    <cfRule type="expression" dxfId="335" priority="335">
      <formula>AL35&lt;-10%</formula>
    </cfRule>
    <cfRule type="expression" dxfId="334" priority="336">
      <formula>AL35&gt;10%</formula>
    </cfRule>
  </conditionalFormatting>
  <conditionalFormatting sqref="AM36">
    <cfRule type="expression" dxfId="333" priority="333">
      <formula>AL36&lt;-10%</formula>
    </cfRule>
    <cfRule type="expression" dxfId="332" priority="334">
      <formula>AL36&gt;10%</formula>
    </cfRule>
  </conditionalFormatting>
  <conditionalFormatting sqref="AM37">
    <cfRule type="expression" dxfId="331" priority="331">
      <formula>AL37&lt;-10%</formula>
    </cfRule>
    <cfRule type="expression" dxfId="330" priority="332">
      <formula>AL37&gt;10%</formula>
    </cfRule>
  </conditionalFormatting>
  <conditionalFormatting sqref="AM38">
    <cfRule type="expression" dxfId="329" priority="329">
      <formula>AL38&lt;-10%</formula>
    </cfRule>
    <cfRule type="expression" dxfId="328" priority="330">
      <formula>AL38&gt;10%</formula>
    </cfRule>
  </conditionalFormatting>
  <conditionalFormatting sqref="AM39">
    <cfRule type="expression" dxfId="327" priority="327">
      <formula>AL39&lt;-10%</formula>
    </cfRule>
    <cfRule type="expression" dxfId="326" priority="328">
      <formula>AL39&gt;10%</formula>
    </cfRule>
  </conditionalFormatting>
  <conditionalFormatting sqref="AM40">
    <cfRule type="expression" dxfId="325" priority="325">
      <formula>AL40&lt;-10%</formula>
    </cfRule>
    <cfRule type="expression" dxfId="324" priority="326">
      <formula>AL40&gt;10%</formula>
    </cfRule>
  </conditionalFormatting>
  <conditionalFormatting sqref="AM43">
    <cfRule type="expression" dxfId="323" priority="323">
      <formula>AL43&lt;-10%</formula>
    </cfRule>
    <cfRule type="expression" dxfId="322" priority="324">
      <formula>AL43&gt;10%</formula>
    </cfRule>
  </conditionalFormatting>
  <conditionalFormatting sqref="AM42">
    <cfRule type="expression" dxfId="321" priority="321">
      <formula>AL42&lt;-10%</formula>
    </cfRule>
    <cfRule type="expression" dxfId="320" priority="322">
      <formula>AL42&gt;10%</formula>
    </cfRule>
  </conditionalFormatting>
  <conditionalFormatting sqref="AM44">
    <cfRule type="expression" dxfId="319" priority="319">
      <formula>AL44&lt;-10%</formula>
    </cfRule>
    <cfRule type="expression" dxfId="318" priority="320">
      <formula>AL44&gt;10%</formula>
    </cfRule>
  </conditionalFormatting>
  <conditionalFormatting sqref="AM45">
    <cfRule type="expression" dxfId="317" priority="317">
      <formula>AL45&lt;-10%</formula>
    </cfRule>
    <cfRule type="expression" dxfId="316" priority="318">
      <formula>AL45&gt;10%</formula>
    </cfRule>
  </conditionalFormatting>
  <conditionalFormatting sqref="AM46">
    <cfRule type="expression" dxfId="315" priority="315">
      <formula>AL46&lt;-10%</formula>
    </cfRule>
    <cfRule type="expression" dxfId="314" priority="316">
      <formula>AL46&gt;10%</formula>
    </cfRule>
  </conditionalFormatting>
  <conditionalFormatting sqref="AM47">
    <cfRule type="expression" dxfId="313" priority="313">
      <formula>AL47&lt;-10%</formula>
    </cfRule>
    <cfRule type="expression" dxfId="312" priority="314">
      <formula>AL47&gt;10%</formula>
    </cfRule>
  </conditionalFormatting>
  <conditionalFormatting sqref="AM48">
    <cfRule type="expression" dxfId="311" priority="311">
      <formula>AL48&lt;-10%</formula>
    </cfRule>
    <cfRule type="expression" dxfId="310" priority="312">
      <formula>AL48&gt;10%</formula>
    </cfRule>
  </conditionalFormatting>
  <conditionalFormatting sqref="AM49">
    <cfRule type="expression" dxfId="309" priority="309">
      <formula>AL49&lt;-10%</formula>
    </cfRule>
    <cfRule type="expression" dxfId="308" priority="310">
      <formula>AL49&gt;10%</formula>
    </cfRule>
  </conditionalFormatting>
  <conditionalFormatting sqref="AM52">
    <cfRule type="expression" dxfId="307" priority="307">
      <formula>AL52&lt;-10%</formula>
    </cfRule>
    <cfRule type="expression" dxfId="306" priority="308">
      <formula>AL52&gt;10%</formula>
    </cfRule>
  </conditionalFormatting>
  <conditionalFormatting sqref="AM51">
    <cfRule type="expression" dxfId="305" priority="305">
      <formula>AL51&lt;-10%</formula>
    </cfRule>
    <cfRule type="expression" dxfId="304" priority="306">
      <formula>AL51&gt;10%</formula>
    </cfRule>
  </conditionalFormatting>
  <conditionalFormatting sqref="AM53">
    <cfRule type="expression" dxfId="303" priority="303">
      <formula>AL53&lt;-10%</formula>
    </cfRule>
    <cfRule type="expression" dxfId="302" priority="304">
      <formula>AL53&gt;10%</formula>
    </cfRule>
  </conditionalFormatting>
  <conditionalFormatting sqref="AM54">
    <cfRule type="expression" dxfId="301" priority="301">
      <formula>AL54&lt;-10%</formula>
    </cfRule>
    <cfRule type="expression" dxfId="300" priority="302">
      <formula>AL54&gt;10%</formula>
    </cfRule>
  </conditionalFormatting>
  <conditionalFormatting sqref="AM55">
    <cfRule type="expression" dxfId="299" priority="299">
      <formula>AL55&lt;-10%</formula>
    </cfRule>
    <cfRule type="expression" dxfId="298" priority="300">
      <formula>AL55&gt;10%</formula>
    </cfRule>
  </conditionalFormatting>
  <conditionalFormatting sqref="AM56">
    <cfRule type="expression" dxfId="297" priority="297">
      <formula>AL56&lt;-10%</formula>
    </cfRule>
    <cfRule type="expression" dxfId="296" priority="298">
      <formula>AL56&gt;10%</formula>
    </cfRule>
  </conditionalFormatting>
  <conditionalFormatting sqref="AM57">
    <cfRule type="expression" dxfId="295" priority="295">
      <formula>AL57&lt;-10%</formula>
    </cfRule>
    <cfRule type="expression" dxfId="294" priority="296">
      <formula>AL57&gt;10%</formula>
    </cfRule>
  </conditionalFormatting>
  <conditionalFormatting sqref="AM58">
    <cfRule type="expression" dxfId="293" priority="293">
      <formula>AL58&lt;-10%</formula>
    </cfRule>
    <cfRule type="expression" dxfId="292" priority="294">
      <formula>AL58&gt;10%</formula>
    </cfRule>
  </conditionalFormatting>
  <conditionalFormatting sqref="AM61">
    <cfRule type="expression" dxfId="291" priority="291">
      <formula>AL61&lt;-10%</formula>
    </cfRule>
    <cfRule type="expression" dxfId="290" priority="292">
      <formula>AL61&gt;10%</formula>
    </cfRule>
  </conditionalFormatting>
  <conditionalFormatting sqref="AM60">
    <cfRule type="expression" dxfId="289" priority="289">
      <formula>AL60&lt;-10%</formula>
    </cfRule>
    <cfRule type="expression" dxfId="288" priority="290">
      <formula>AL60&gt;10%</formula>
    </cfRule>
  </conditionalFormatting>
  <conditionalFormatting sqref="AM62">
    <cfRule type="expression" dxfId="287" priority="287">
      <formula>AL62&lt;-10%</formula>
    </cfRule>
    <cfRule type="expression" dxfId="286" priority="288">
      <formula>AL62&gt;10%</formula>
    </cfRule>
  </conditionalFormatting>
  <conditionalFormatting sqref="AM63">
    <cfRule type="expression" dxfId="285" priority="285">
      <formula>AL63&lt;-10%</formula>
    </cfRule>
    <cfRule type="expression" dxfId="284" priority="286">
      <formula>AL63&gt;10%</formula>
    </cfRule>
  </conditionalFormatting>
  <conditionalFormatting sqref="AM64">
    <cfRule type="expression" dxfId="283" priority="283">
      <formula>AL64&lt;-10%</formula>
    </cfRule>
    <cfRule type="expression" dxfId="282" priority="284">
      <formula>AL64&gt;10%</formula>
    </cfRule>
  </conditionalFormatting>
  <conditionalFormatting sqref="AM65">
    <cfRule type="expression" dxfId="281" priority="281">
      <formula>AL65&lt;-10%</formula>
    </cfRule>
    <cfRule type="expression" dxfId="280" priority="282">
      <formula>AL65&gt;10%</formula>
    </cfRule>
  </conditionalFormatting>
  <conditionalFormatting sqref="AM66">
    <cfRule type="expression" dxfId="279" priority="279">
      <formula>AL66&lt;-10%</formula>
    </cfRule>
    <cfRule type="expression" dxfId="278" priority="280">
      <formula>AL66&gt;10%</formula>
    </cfRule>
  </conditionalFormatting>
  <conditionalFormatting sqref="AM67">
    <cfRule type="expression" dxfId="277" priority="277">
      <formula>AL67&lt;-10%</formula>
    </cfRule>
    <cfRule type="expression" dxfId="276" priority="278">
      <formula>AL67&gt;10%</formula>
    </cfRule>
  </conditionalFormatting>
  <conditionalFormatting sqref="AM70">
    <cfRule type="expression" dxfId="275" priority="275">
      <formula>AL70&lt;-10%</formula>
    </cfRule>
    <cfRule type="expression" dxfId="274" priority="276">
      <formula>AL70&gt;10%</formula>
    </cfRule>
  </conditionalFormatting>
  <conditionalFormatting sqref="AM69">
    <cfRule type="expression" dxfId="273" priority="273">
      <formula>AL69&lt;-10%</formula>
    </cfRule>
    <cfRule type="expression" dxfId="272" priority="274">
      <formula>AL69&gt;10%</formula>
    </cfRule>
  </conditionalFormatting>
  <conditionalFormatting sqref="AM71">
    <cfRule type="expression" dxfId="271" priority="271">
      <formula>AL71&lt;-10%</formula>
    </cfRule>
    <cfRule type="expression" dxfId="270" priority="272">
      <formula>AL71&gt;10%</formula>
    </cfRule>
  </conditionalFormatting>
  <conditionalFormatting sqref="AM72">
    <cfRule type="expression" dxfId="269" priority="269">
      <formula>AL72&lt;-10%</formula>
    </cfRule>
    <cfRule type="expression" dxfId="268" priority="270">
      <formula>AL72&gt;10%</formula>
    </cfRule>
  </conditionalFormatting>
  <conditionalFormatting sqref="AM73">
    <cfRule type="expression" dxfId="267" priority="267">
      <formula>AL73&lt;-10%</formula>
    </cfRule>
    <cfRule type="expression" dxfId="266" priority="268">
      <formula>AL73&gt;10%</formula>
    </cfRule>
  </conditionalFormatting>
  <conditionalFormatting sqref="AM74">
    <cfRule type="expression" dxfId="265" priority="265">
      <formula>AL74&lt;-10%</formula>
    </cfRule>
    <cfRule type="expression" dxfId="264" priority="266">
      <formula>AL74&gt;10%</formula>
    </cfRule>
  </conditionalFormatting>
  <conditionalFormatting sqref="AM75">
    <cfRule type="expression" dxfId="263" priority="263">
      <formula>AL75&lt;-10%</formula>
    </cfRule>
    <cfRule type="expression" dxfId="262" priority="264">
      <formula>AL75&gt;10%</formula>
    </cfRule>
  </conditionalFormatting>
  <conditionalFormatting sqref="AM76">
    <cfRule type="expression" dxfId="261" priority="261">
      <formula>AL76&lt;-10%</formula>
    </cfRule>
    <cfRule type="expression" dxfId="260" priority="262">
      <formula>AL76&gt;10%</formula>
    </cfRule>
  </conditionalFormatting>
  <conditionalFormatting sqref="AM82">
    <cfRule type="expression" dxfId="259" priority="259">
      <formula>AL82&lt;-10%</formula>
    </cfRule>
    <cfRule type="expression" dxfId="258" priority="260">
      <formula>AL82&gt;10%</formula>
    </cfRule>
  </conditionalFormatting>
  <conditionalFormatting sqref="AM81">
    <cfRule type="expression" dxfId="257" priority="257">
      <formula>AL81&lt;-10%</formula>
    </cfRule>
    <cfRule type="expression" dxfId="256" priority="258">
      <formula>AL81&gt;10%</formula>
    </cfRule>
  </conditionalFormatting>
  <conditionalFormatting sqref="AM83">
    <cfRule type="expression" dxfId="255" priority="255">
      <formula>AL83&lt;-10%</formula>
    </cfRule>
    <cfRule type="expression" dxfId="254" priority="256">
      <formula>AL83&gt;10%</formula>
    </cfRule>
  </conditionalFormatting>
  <conditionalFormatting sqref="AM84">
    <cfRule type="expression" dxfId="253" priority="253">
      <formula>AL84&lt;-10%</formula>
    </cfRule>
    <cfRule type="expression" dxfId="252" priority="254">
      <formula>AL84&gt;10%</formula>
    </cfRule>
  </conditionalFormatting>
  <conditionalFormatting sqref="AM85">
    <cfRule type="expression" dxfId="251" priority="251">
      <formula>AL85&lt;-10%</formula>
    </cfRule>
    <cfRule type="expression" dxfId="250" priority="252">
      <formula>AL85&gt;10%</formula>
    </cfRule>
  </conditionalFormatting>
  <conditionalFormatting sqref="AM86">
    <cfRule type="expression" dxfId="249" priority="249">
      <formula>AL86&lt;-10%</formula>
    </cfRule>
    <cfRule type="expression" dxfId="248" priority="250">
      <formula>AL86&gt;10%</formula>
    </cfRule>
  </conditionalFormatting>
  <conditionalFormatting sqref="AM87">
    <cfRule type="expression" dxfId="247" priority="247">
      <formula>AL87&lt;-10%</formula>
    </cfRule>
    <cfRule type="expression" dxfId="246" priority="248">
      <formula>AL87&gt;10%</formula>
    </cfRule>
  </conditionalFormatting>
  <conditionalFormatting sqref="AM88">
    <cfRule type="expression" dxfId="245" priority="245">
      <formula>AL88&lt;-10%</formula>
    </cfRule>
    <cfRule type="expression" dxfId="244" priority="246">
      <formula>AL88&gt;10%</formula>
    </cfRule>
  </conditionalFormatting>
  <conditionalFormatting sqref="AM91">
    <cfRule type="expression" dxfId="243" priority="243">
      <formula>AL91&lt;-10%</formula>
    </cfRule>
    <cfRule type="expression" dxfId="242" priority="244">
      <formula>AL91&gt;10%</formula>
    </cfRule>
  </conditionalFormatting>
  <conditionalFormatting sqref="AM90">
    <cfRule type="expression" dxfId="241" priority="241">
      <formula>AL90&lt;-10%</formula>
    </cfRule>
    <cfRule type="expression" dxfId="240" priority="242">
      <formula>AL90&gt;10%</formula>
    </cfRule>
  </conditionalFormatting>
  <conditionalFormatting sqref="AM92">
    <cfRule type="expression" dxfId="239" priority="239">
      <formula>AL92&lt;-10%</formula>
    </cfRule>
    <cfRule type="expression" dxfId="238" priority="240">
      <formula>AL92&gt;10%</formula>
    </cfRule>
  </conditionalFormatting>
  <conditionalFormatting sqref="AM93">
    <cfRule type="expression" dxfId="237" priority="237">
      <formula>AL93&lt;-10%</formula>
    </cfRule>
    <cfRule type="expression" dxfId="236" priority="238">
      <formula>AL93&gt;10%</formula>
    </cfRule>
  </conditionalFormatting>
  <conditionalFormatting sqref="AM94">
    <cfRule type="expression" dxfId="235" priority="235">
      <formula>AL94&lt;-10%</formula>
    </cfRule>
    <cfRule type="expression" dxfId="234" priority="236">
      <formula>AL94&gt;10%</formula>
    </cfRule>
  </conditionalFormatting>
  <conditionalFormatting sqref="AM95">
    <cfRule type="expression" dxfId="233" priority="233">
      <formula>AL95&lt;-10%</formula>
    </cfRule>
    <cfRule type="expression" dxfId="232" priority="234">
      <formula>AL95&gt;10%</formula>
    </cfRule>
  </conditionalFormatting>
  <conditionalFormatting sqref="AM96">
    <cfRule type="expression" dxfId="231" priority="231">
      <formula>AL96&lt;-10%</formula>
    </cfRule>
    <cfRule type="expression" dxfId="230" priority="232">
      <formula>AL96&gt;10%</formula>
    </cfRule>
  </conditionalFormatting>
  <conditionalFormatting sqref="AM97">
    <cfRule type="expression" dxfId="229" priority="229">
      <formula>AL97&lt;-10%</formula>
    </cfRule>
    <cfRule type="expression" dxfId="228" priority="230">
      <formula>AL97&gt;10%</formula>
    </cfRule>
  </conditionalFormatting>
  <conditionalFormatting sqref="AM100">
    <cfRule type="expression" dxfId="227" priority="227">
      <formula>AL100&lt;-10%</formula>
    </cfRule>
    <cfRule type="expression" dxfId="226" priority="228">
      <formula>AL100&gt;10%</formula>
    </cfRule>
  </conditionalFormatting>
  <conditionalFormatting sqref="AM99">
    <cfRule type="expression" dxfId="225" priority="225">
      <formula>AL99&lt;-10%</formula>
    </cfRule>
    <cfRule type="expression" dxfId="224" priority="226">
      <formula>AL99&gt;10%</formula>
    </cfRule>
  </conditionalFormatting>
  <conditionalFormatting sqref="AM101">
    <cfRule type="expression" dxfId="223" priority="223">
      <formula>AL101&lt;-10%</formula>
    </cfRule>
    <cfRule type="expression" dxfId="222" priority="224">
      <formula>AL101&gt;10%</formula>
    </cfRule>
  </conditionalFormatting>
  <conditionalFormatting sqref="AM102">
    <cfRule type="expression" dxfId="221" priority="221">
      <formula>AL102&lt;-10%</formula>
    </cfRule>
    <cfRule type="expression" dxfId="220" priority="222">
      <formula>AL102&gt;10%</formula>
    </cfRule>
  </conditionalFormatting>
  <conditionalFormatting sqref="AM103">
    <cfRule type="expression" dxfId="219" priority="219">
      <formula>AL103&lt;-10%</formula>
    </cfRule>
    <cfRule type="expression" dxfId="218" priority="220">
      <formula>AL103&gt;10%</formula>
    </cfRule>
  </conditionalFormatting>
  <conditionalFormatting sqref="AM104">
    <cfRule type="expression" dxfId="217" priority="217">
      <formula>AL104&lt;-10%</formula>
    </cfRule>
    <cfRule type="expression" dxfId="216" priority="218">
      <formula>AL104&gt;10%</formula>
    </cfRule>
  </conditionalFormatting>
  <conditionalFormatting sqref="AM105">
    <cfRule type="expression" dxfId="215" priority="215">
      <formula>AL105&lt;-10%</formula>
    </cfRule>
    <cfRule type="expression" dxfId="214" priority="216">
      <formula>AL105&gt;10%</formula>
    </cfRule>
  </conditionalFormatting>
  <conditionalFormatting sqref="AM106">
    <cfRule type="expression" dxfId="213" priority="213">
      <formula>AL106&lt;-10%</formula>
    </cfRule>
    <cfRule type="expression" dxfId="212" priority="214">
      <formula>AL106&gt;10%</formula>
    </cfRule>
  </conditionalFormatting>
  <conditionalFormatting sqref="AM109">
    <cfRule type="expression" dxfId="211" priority="211">
      <formula>AL109&lt;-10%</formula>
    </cfRule>
    <cfRule type="expression" dxfId="210" priority="212">
      <formula>AL109&gt;10%</formula>
    </cfRule>
  </conditionalFormatting>
  <conditionalFormatting sqref="AM108">
    <cfRule type="expression" dxfId="209" priority="209">
      <formula>AL108&lt;-10%</formula>
    </cfRule>
    <cfRule type="expression" dxfId="208" priority="210">
      <formula>AL108&gt;10%</formula>
    </cfRule>
  </conditionalFormatting>
  <conditionalFormatting sqref="AM110">
    <cfRule type="expression" dxfId="207" priority="207">
      <formula>AL110&lt;-10%</formula>
    </cfRule>
    <cfRule type="expression" dxfId="206" priority="208">
      <formula>AL110&gt;10%</formula>
    </cfRule>
  </conditionalFormatting>
  <conditionalFormatting sqref="AM111">
    <cfRule type="expression" dxfId="205" priority="205">
      <formula>AL111&lt;-10%</formula>
    </cfRule>
    <cfRule type="expression" dxfId="204" priority="206">
      <formula>AL111&gt;10%</formula>
    </cfRule>
  </conditionalFormatting>
  <conditionalFormatting sqref="AM112">
    <cfRule type="expression" dxfId="203" priority="203">
      <formula>AL112&lt;-10%</formula>
    </cfRule>
    <cfRule type="expression" dxfId="202" priority="204">
      <formula>AL112&gt;10%</formula>
    </cfRule>
  </conditionalFormatting>
  <conditionalFormatting sqref="AM113">
    <cfRule type="expression" dxfId="201" priority="201">
      <formula>AL113&lt;-10%</formula>
    </cfRule>
    <cfRule type="expression" dxfId="200" priority="202">
      <formula>AL113&gt;10%</formula>
    </cfRule>
  </conditionalFormatting>
  <conditionalFormatting sqref="AM114">
    <cfRule type="expression" dxfId="199" priority="199">
      <formula>AL114&lt;-10%</formula>
    </cfRule>
    <cfRule type="expression" dxfId="198" priority="200">
      <formula>AL114&gt;10%</formula>
    </cfRule>
  </conditionalFormatting>
  <conditionalFormatting sqref="AM115">
    <cfRule type="expression" dxfId="197" priority="197">
      <formula>AL115&lt;-10%</formula>
    </cfRule>
    <cfRule type="expression" dxfId="196" priority="198">
      <formula>AL115&gt;10%</formula>
    </cfRule>
  </conditionalFormatting>
  <conditionalFormatting sqref="AM79">
    <cfRule type="expression" dxfId="195" priority="195">
      <formula>AL79&lt;-10%</formula>
    </cfRule>
    <cfRule type="expression" dxfId="194" priority="196">
      <formula>AL79&gt;10%</formula>
    </cfRule>
  </conditionalFormatting>
  <conditionalFormatting sqref="O7">
    <cfRule type="expression" dxfId="193" priority="193">
      <formula>N7&lt;-10%</formula>
    </cfRule>
    <cfRule type="expression" dxfId="192" priority="194">
      <formula>N7&gt;10%</formula>
    </cfRule>
  </conditionalFormatting>
  <conditionalFormatting sqref="O6">
    <cfRule type="expression" dxfId="191" priority="191">
      <formula>N6&lt;-10%</formula>
    </cfRule>
    <cfRule type="expression" dxfId="190" priority="192">
      <formula>N6&gt;10%</formula>
    </cfRule>
  </conditionalFormatting>
  <conditionalFormatting sqref="O8">
    <cfRule type="expression" dxfId="189" priority="189">
      <formula>N8&lt;-10%</formula>
    </cfRule>
    <cfRule type="expression" dxfId="188" priority="190">
      <formula>N8&gt;10%</formula>
    </cfRule>
  </conditionalFormatting>
  <conditionalFormatting sqref="O9">
    <cfRule type="expression" dxfId="187" priority="187">
      <formula>N9&lt;-10%</formula>
    </cfRule>
    <cfRule type="expression" dxfId="186" priority="188">
      <formula>N9&gt;10%</formula>
    </cfRule>
  </conditionalFormatting>
  <conditionalFormatting sqref="O10">
    <cfRule type="expression" dxfId="185" priority="185">
      <formula>N10&lt;-10%</formula>
    </cfRule>
    <cfRule type="expression" dxfId="184" priority="186">
      <formula>N10&gt;10%</formula>
    </cfRule>
  </conditionalFormatting>
  <conditionalFormatting sqref="O11">
    <cfRule type="expression" dxfId="183" priority="183">
      <formula>N11&lt;-10%</formula>
    </cfRule>
    <cfRule type="expression" dxfId="182" priority="184">
      <formula>N11&gt;10%</formula>
    </cfRule>
  </conditionalFormatting>
  <conditionalFormatting sqref="O12">
    <cfRule type="expression" dxfId="181" priority="181">
      <formula>N12&lt;-10%</formula>
    </cfRule>
    <cfRule type="expression" dxfId="180" priority="182">
      <formula>N12&gt;10%</formula>
    </cfRule>
  </conditionalFormatting>
  <conditionalFormatting sqref="O13">
    <cfRule type="expression" dxfId="179" priority="179">
      <formula>N13&lt;-10%</formula>
    </cfRule>
    <cfRule type="expression" dxfId="178" priority="180">
      <formula>N13&gt;10%</formula>
    </cfRule>
  </conditionalFormatting>
  <conditionalFormatting sqref="O16">
    <cfRule type="expression" dxfId="177" priority="177">
      <formula>N16&lt;-10%</formula>
    </cfRule>
    <cfRule type="expression" dxfId="176" priority="178">
      <formula>N16&gt;10%</formula>
    </cfRule>
  </conditionalFormatting>
  <conditionalFormatting sqref="O15">
    <cfRule type="expression" dxfId="175" priority="175">
      <formula>N15&lt;-10%</formula>
    </cfRule>
    <cfRule type="expression" dxfId="174" priority="176">
      <formula>N15&gt;10%</formula>
    </cfRule>
  </conditionalFormatting>
  <conditionalFormatting sqref="O17">
    <cfRule type="expression" dxfId="173" priority="173">
      <formula>N17&lt;-10%</formula>
    </cfRule>
    <cfRule type="expression" dxfId="172" priority="174">
      <formula>N17&gt;10%</formula>
    </cfRule>
  </conditionalFormatting>
  <conditionalFormatting sqref="O18">
    <cfRule type="expression" dxfId="171" priority="171">
      <formula>N18&lt;-10%</formula>
    </cfRule>
    <cfRule type="expression" dxfId="170" priority="172">
      <formula>N18&gt;10%</formula>
    </cfRule>
  </conditionalFormatting>
  <conditionalFormatting sqref="O19">
    <cfRule type="expression" dxfId="169" priority="169">
      <formula>N19&lt;-10%</formula>
    </cfRule>
    <cfRule type="expression" dxfId="168" priority="170">
      <formula>N19&gt;10%</formula>
    </cfRule>
  </conditionalFormatting>
  <conditionalFormatting sqref="O20">
    <cfRule type="expression" dxfId="167" priority="167">
      <formula>N20&lt;-10%</formula>
    </cfRule>
    <cfRule type="expression" dxfId="166" priority="168">
      <formula>N20&gt;10%</formula>
    </cfRule>
  </conditionalFormatting>
  <conditionalFormatting sqref="O21">
    <cfRule type="expression" dxfId="165" priority="165">
      <formula>N21&lt;-10%</formula>
    </cfRule>
    <cfRule type="expression" dxfId="164" priority="166">
      <formula>N21&gt;10%</formula>
    </cfRule>
  </conditionalFormatting>
  <conditionalFormatting sqref="O22">
    <cfRule type="expression" dxfId="163" priority="163">
      <formula>N22&lt;-10%</formula>
    </cfRule>
    <cfRule type="expression" dxfId="162" priority="164">
      <formula>N22&gt;10%</formula>
    </cfRule>
  </conditionalFormatting>
  <conditionalFormatting sqref="O25">
    <cfRule type="expression" dxfId="161" priority="161">
      <formula>N25&lt;-10%</formula>
    </cfRule>
    <cfRule type="expression" dxfId="160" priority="162">
      <formula>N25&gt;10%</formula>
    </cfRule>
  </conditionalFormatting>
  <conditionalFormatting sqref="O24">
    <cfRule type="expression" dxfId="159" priority="159">
      <formula>N24&lt;-10%</formula>
    </cfRule>
    <cfRule type="expression" dxfId="158" priority="160">
      <formula>N24&gt;10%</formula>
    </cfRule>
  </conditionalFormatting>
  <conditionalFormatting sqref="O26">
    <cfRule type="expression" dxfId="157" priority="157">
      <formula>N26&lt;-10%</formula>
    </cfRule>
    <cfRule type="expression" dxfId="156" priority="158">
      <formula>N26&gt;10%</formula>
    </cfRule>
  </conditionalFormatting>
  <conditionalFormatting sqref="O27">
    <cfRule type="expression" dxfId="155" priority="155">
      <formula>N27&lt;-10%</formula>
    </cfRule>
    <cfRule type="expression" dxfId="154" priority="156">
      <formula>N27&gt;10%</formula>
    </cfRule>
  </conditionalFormatting>
  <conditionalFormatting sqref="O28">
    <cfRule type="expression" dxfId="153" priority="153">
      <formula>N28&lt;-10%</formula>
    </cfRule>
    <cfRule type="expression" dxfId="152" priority="154">
      <formula>N28&gt;10%</formula>
    </cfRule>
  </conditionalFormatting>
  <conditionalFormatting sqref="O29">
    <cfRule type="expression" dxfId="151" priority="151">
      <formula>N29&lt;-10%</formula>
    </cfRule>
    <cfRule type="expression" dxfId="150" priority="152">
      <formula>N29&gt;10%</formula>
    </cfRule>
  </conditionalFormatting>
  <conditionalFormatting sqref="O30">
    <cfRule type="expression" dxfId="149" priority="149">
      <formula>N30&lt;-10%</formula>
    </cfRule>
    <cfRule type="expression" dxfId="148" priority="150">
      <formula>N30&gt;10%</formula>
    </cfRule>
  </conditionalFormatting>
  <conditionalFormatting sqref="O31">
    <cfRule type="expression" dxfId="147" priority="147">
      <formula>N31&lt;-10%</formula>
    </cfRule>
    <cfRule type="expression" dxfId="146" priority="148">
      <formula>N31&gt;10%</formula>
    </cfRule>
  </conditionalFormatting>
  <conditionalFormatting sqref="O34">
    <cfRule type="expression" dxfId="145" priority="145">
      <formula>N34&lt;-10%</formula>
    </cfRule>
    <cfRule type="expression" dxfId="144" priority="146">
      <formula>N34&gt;10%</formula>
    </cfRule>
  </conditionalFormatting>
  <conditionalFormatting sqref="O33">
    <cfRule type="expression" dxfId="143" priority="143">
      <formula>N33&lt;-10%</formula>
    </cfRule>
    <cfRule type="expression" dxfId="142" priority="144">
      <formula>N33&gt;10%</formula>
    </cfRule>
  </conditionalFormatting>
  <conditionalFormatting sqref="O35">
    <cfRule type="expression" dxfId="141" priority="141">
      <formula>N35&lt;-10%</formula>
    </cfRule>
    <cfRule type="expression" dxfId="140" priority="142">
      <formula>N35&gt;10%</formula>
    </cfRule>
  </conditionalFormatting>
  <conditionalFormatting sqref="O36">
    <cfRule type="expression" dxfId="139" priority="139">
      <formula>N36&lt;-10%</formula>
    </cfRule>
    <cfRule type="expression" dxfId="138" priority="140">
      <formula>N36&gt;10%</formula>
    </cfRule>
  </conditionalFormatting>
  <conditionalFormatting sqref="O37">
    <cfRule type="expression" dxfId="137" priority="137">
      <formula>N37&lt;-10%</formula>
    </cfRule>
    <cfRule type="expression" dxfId="136" priority="138">
      <formula>N37&gt;10%</formula>
    </cfRule>
  </conditionalFormatting>
  <conditionalFormatting sqref="O38">
    <cfRule type="expression" dxfId="135" priority="135">
      <formula>N38&lt;-10%</formula>
    </cfRule>
    <cfRule type="expression" dxfId="134" priority="136">
      <formula>N38&gt;10%</formula>
    </cfRule>
  </conditionalFormatting>
  <conditionalFormatting sqref="O39">
    <cfRule type="expression" dxfId="133" priority="133">
      <formula>N39&lt;-10%</formula>
    </cfRule>
    <cfRule type="expression" dxfId="132" priority="134">
      <formula>N39&gt;10%</formula>
    </cfRule>
  </conditionalFormatting>
  <conditionalFormatting sqref="O40">
    <cfRule type="expression" dxfId="131" priority="131">
      <formula>N40&lt;-10%</formula>
    </cfRule>
    <cfRule type="expression" dxfId="130" priority="132">
      <formula>N40&gt;10%</formula>
    </cfRule>
  </conditionalFormatting>
  <conditionalFormatting sqref="O43">
    <cfRule type="expression" dxfId="129" priority="129">
      <formula>N43&lt;-10%</formula>
    </cfRule>
    <cfRule type="expression" dxfId="128" priority="130">
      <formula>N43&gt;10%</formula>
    </cfRule>
  </conditionalFormatting>
  <conditionalFormatting sqref="O42">
    <cfRule type="expression" dxfId="127" priority="127">
      <formula>N42&lt;-10%</formula>
    </cfRule>
    <cfRule type="expression" dxfId="126" priority="128">
      <formula>N42&gt;10%</formula>
    </cfRule>
  </conditionalFormatting>
  <conditionalFormatting sqref="O44">
    <cfRule type="expression" dxfId="125" priority="125">
      <formula>N44&lt;-10%</formula>
    </cfRule>
    <cfRule type="expression" dxfId="124" priority="126">
      <formula>N44&gt;10%</formula>
    </cfRule>
  </conditionalFormatting>
  <conditionalFormatting sqref="O45">
    <cfRule type="expression" dxfId="123" priority="123">
      <formula>N45&lt;-10%</formula>
    </cfRule>
    <cfRule type="expression" dxfId="122" priority="124">
      <formula>N45&gt;10%</formula>
    </cfRule>
  </conditionalFormatting>
  <conditionalFormatting sqref="O46">
    <cfRule type="expression" dxfId="121" priority="121">
      <formula>N46&lt;-10%</formula>
    </cfRule>
    <cfRule type="expression" dxfId="120" priority="122">
      <formula>N46&gt;10%</formula>
    </cfRule>
  </conditionalFormatting>
  <conditionalFormatting sqref="O47">
    <cfRule type="expression" dxfId="119" priority="119">
      <formula>N47&lt;-10%</formula>
    </cfRule>
    <cfRule type="expression" dxfId="118" priority="120">
      <formula>N47&gt;10%</formula>
    </cfRule>
  </conditionalFormatting>
  <conditionalFormatting sqref="O48">
    <cfRule type="expression" dxfId="117" priority="117">
      <formula>N48&lt;-10%</formula>
    </cfRule>
    <cfRule type="expression" dxfId="116" priority="118">
      <formula>N48&gt;10%</formula>
    </cfRule>
  </conditionalFormatting>
  <conditionalFormatting sqref="O49">
    <cfRule type="expression" dxfId="115" priority="115">
      <formula>N49&lt;-10%</formula>
    </cfRule>
    <cfRule type="expression" dxfId="114" priority="116">
      <formula>N49&gt;10%</formula>
    </cfRule>
  </conditionalFormatting>
  <conditionalFormatting sqref="O52">
    <cfRule type="expression" dxfId="113" priority="113">
      <formula>N52&lt;-10%</formula>
    </cfRule>
    <cfRule type="expression" dxfId="112" priority="114">
      <formula>N52&gt;10%</formula>
    </cfRule>
  </conditionalFormatting>
  <conditionalFormatting sqref="O51">
    <cfRule type="expression" dxfId="111" priority="111">
      <formula>N51&lt;-10%</formula>
    </cfRule>
    <cfRule type="expression" dxfId="110" priority="112">
      <formula>N51&gt;10%</formula>
    </cfRule>
  </conditionalFormatting>
  <conditionalFormatting sqref="O53">
    <cfRule type="expression" dxfId="109" priority="109">
      <formula>N53&lt;-10%</formula>
    </cfRule>
    <cfRule type="expression" dxfId="108" priority="110">
      <formula>N53&gt;10%</formula>
    </cfRule>
  </conditionalFormatting>
  <conditionalFormatting sqref="O54">
    <cfRule type="expression" dxfId="107" priority="107">
      <formula>N54&lt;-10%</formula>
    </cfRule>
    <cfRule type="expression" dxfId="106" priority="108">
      <formula>N54&gt;10%</formula>
    </cfRule>
  </conditionalFormatting>
  <conditionalFormatting sqref="O55">
    <cfRule type="expression" dxfId="105" priority="105">
      <formula>N55&lt;-10%</formula>
    </cfRule>
    <cfRule type="expression" dxfId="104" priority="106">
      <formula>N55&gt;10%</formula>
    </cfRule>
  </conditionalFormatting>
  <conditionalFormatting sqref="O56">
    <cfRule type="expression" dxfId="103" priority="103">
      <formula>N56&lt;-10%</formula>
    </cfRule>
    <cfRule type="expression" dxfId="102" priority="104">
      <formula>N56&gt;10%</formula>
    </cfRule>
  </conditionalFormatting>
  <conditionalFormatting sqref="O57">
    <cfRule type="expression" dxfId="101" priority="101">
      <formula>N57&lt;-10%</formula>
    </cfRule>
    <cfRule type="expression" dxfId="100" priority="102">
      <formula>N57&gt;10%</formula>
    </cfRule>
  </conditionalFormatting>
  <conditionalFormatting sqref="O58">
    <cfRule type="expression" dxfId="99" priority="99">
      <formula>N58&lt;-10%</formula>
    </cfRule>
    <cfRule type="expression" dxfId="98" priority="100">
      <formula>N58&gt;10%</formula>
    </cfRule>
  </conditionalFormatting>
  <conditionalFormatting sqref="O61">
    <cfRule type="expression" dxfId="97" priority="97">
      <formula>N61&lt;-10%</formula>
    </cfRule>
    <cfRule type="expression" dxfId="96" priority="98">
      <formula>N61&gt;10%</formula>
    </cfRule>
  </conditionalFormatting>
  <conditionalFormatting sqref="O60">
    <cfRule type="expression" dxfId="95" priority="95">
      <formula>N60&lt;-10%</formula>
    </cfRule>
    <cfRule type="expression" dxfId="94" priority="96">
      <formula>N60&gt;10%</formula>
    </cfRule>
  </conditionalFormatting>
  <conditionalFormatting sqref="O62">
    <cfRule type="expression" dxfId="93" priority="93">
      <formula>N62&lt;-10%</formula>
    </cfRule>
    <cfRule type="expression" dxfId="92" priority="94">
      <formula>N62&gt;10%</formula>
    </cfRule>
  </conditionalFormatting>
  <conditionalFormatting sqref="O63">
    <cfRule type="expression" dxfId="91" priority="91">
      <formula>N63&lt;-10%</formula>
    </cfRule>
    <cfRule type="expression" dxfId="90" priority="92">
      <formula>N63&gt;10%</formula>
    </cfRule>
  </conditionalFormatting>
  <conditionalFormatting sqref="O64">
    <cfRule type="expression" dxfId="89" priority="89">
      <formula>N64&lt;-10%</formula>
    </cfRule>
    <cfRule type="expression" dxfId="88" priority="90">
      <formula>N64&gt;10%</formula>
    </cfRule>
  </conditionalFormatting>
  <conditionalFormatting sqref="O65">
    <cfRule type="expression" dxfId="87" priority="87">
      <formula>N65&lt;-10%</formula>
    </cfRule>
    <cfRule type="expression" dxfId="86" priority="88">
      <formula>N65&gt;10%</formula>
    </cfRule>
  </conditionalFormatting>
  <conditionalFormatting sqref="O66">
    <cfRule type="expression" dxfId="85" priority="85">
      <formula>N66&lt;-10%</formula>
    </cfRule>
    <cfRule type="expression" dxfId="84" priority="86">
      <formula>N66&gt;10%</formula>
    </cfRule>
  </conditionalFormatting>
  <conditionalFormatting sqref="O67">
    <cfRule type="expression" dxfId="83" priority="83">
      <formula>N67&lt;-10%</formula>
    </cfRule>
    <cfRule type="expression" dxfId="82" priority="84">
      <formula>N67&gt;10%</formula>
    </cfRule>
  </conditionalFormatting>
  <conditionalFormatting sqref="O70">
    <cfRule type="expression" dxfId="81" priority="81">
      <formula>N70&lt;-10%</formula>
    </cfRule>
    <cfRule type="expression" dxfId="80" priority="82">
      <formula>N70&gt;10%</formula>
    </cfRule>
  </conditionalFormatting>
  <conditionalFormatting sqref="O69">
    <cfRule type="expression" dxfId="79" priority="79">
      <formula>N69&lt;-10%</formula>
    </cfRule>
    <cfRule type="expression" dxfId="78" priority="80">
      <formula>N69&gt;10%</formula>
    </cfRule>
  </conditionalFormatting>
  <conditionalFormatting sqref="O71">
    <cfRule type="expression" dxfId="77" priority="77">
      <formula>N71&lt;-10%</formula>
    </cfRule>
    <cfRule type="expression" dxfId="76" priority="78">
      <formula>N71&gt;10%</formula>
    </cfRule>
  </conditionalFormatting>
  <conditionalFormatting sqref="O72">
    <cfRule type="expression" dxfId="75" priority="75">
      <formula>N72&lt;-10%</formula>
    </cfRule>
    <cfRule type="expression" dxfId="74" priority="76">
      <formula>N72&gt;10%</formula>
    </cfRule>
  </conditionalFormatting>
  <conditionalFormatting sqref="O73">
    <cfRule type="expression" dxfId="73" priority="73">
      <formula>N73&lt;-10%</formula>
    </cfRule>
    <cfRule type="expression" dxfId="72" priority="74">
      <formula>N73&gt;10%</formula>
    </cfRule>
  </conditionalFormatting>
  <conditionalFormatting sqref="O74">
    <cfRule type="expression" dxfId="71" priority="71">
      <formula>N74&lt;-10%</formula>
    </cfRule>
    <cfRule type="expression" dxfId="70" priority="72">
      <formula>N74&gt;10%</formula>
    </cfRule>
  </conditionalFormatting>
  <conditionalFormatting sqref="O75">
    <cfRule type="expression" dxfId="69" priority="69">
      <formula>N75&lt;-10%</formula>
    </cfRule>
    <cfRule type="expression" dxfId="68" priority="70">
      <formula>N75&gt;10%</formula>
    </cfRule>
  </conditionalFormatting>
  <conditionalFormatting sqref="O76">
    <cfRule type="expression" dxfId="67" priority="67">
      <formula>N76&lt;-10%</formula>
    </cfRule>
    <cfRule type="expression" dxfId="66" priority="68">
      <formula>N76&gt;10%</formula>
    </cfRule>
  </conditionalFormatting>
  <conditionalFormatting sqref="O82">
    <cfRule type="expression" dxfId="65" priority="65">
      <formula>N82&lt;-10%</formula>
    </cfRule>
    <cfRule type="expression" dxfId="64" priority="66">
      <formula>N82&gt;10%</formula>
    </cfRule>
  </conditionalFormatting>
  <conditionalFormatting sqref="O81">
    <cfRule type="expression" dxfId="63" priority="63">
      <formula>N81&lt;-10%</formula>
    </cfRule>
    <cfRule type="expression" dxfId="62" priority="64">
      <formula>N81&gt;10%</formula>
    </cfRule>
  </conditionalFormatting>
  <conditionalFormatting sqref="O83">
    <cfRule type="expression" dxfId="61" priority="61">
      <formula>N83&lt;-10%</formula>
    </cfRule>
    <cfRule type="expression" dxfId="60" priority="62">
      <formula>N83&gt;10%</formula>
    </cfRule>
  </conditionalFormatting>
  <conditionalFormatting sqref="O84">
    <cfRule type="expression" dxfId="59" priority="59">
      <formula>N84&lt;-10%</formula>
    </cfRule>
    <cfRule type="expression" dxfId="58" priority="60">
      <formula>N84&gt;10%</formula>
    </cfRule>
  </conditionalFormatting>
  <conditionalFormatting sqref="O85">
    <cfRule type="expression" dxfId="57" priority="57">
      <formula>N85&lt;-10%</formula>
    </cfRule>
    <cfRule type="expression" dxfId="56" priority="58">
      <formula>N85&gt;10%</formula>
    </cfRule>
  </conditionalFormatting>
  <conditionalFormatting sqref="O86">
    <cfRule type="expression" dxfId="55" priority="55">
      <formula>N86&lt;-10%</formula>
    </cfRule>
    <cfRule type="expression" dxfId="54" priority="56">
      <formula>N86&gt;10%</formula>
    </cfRule>
  </conditionalFormatting>
  <conditionalFormatting sqref="O87">
    <cfRule type="expression" dxfId="53" priority="53">
      <formula>N87&lt;-10%</formula>
    </cfRule>
    <cfRule type="expression" dxfId="52" priority="54">
      <formula>N87&gt;10%</formula>
    </cfRule>
  </conditionalFormatting>
  <conditionalFormatting sqref="O88">
    <cfRule type="expression" dxfId="51" priority="51">
      <formula>N88&lt;-10%</formula>
    </cfRule>
    <cfRule type="expression" dxfId="50" priority="52">
      <formula>N88&gt;10%</formula>
    </cfRule>
  </conditionalFormatting>
  <conditionalFormatting sqref="O91">
    <cfRule type="expression" dxfId="49" priority="49">
      <formula>N91&lt;-10%</formula>
    </cfRule>
    <cfRule type="expression" dxfId="48" priority="50">
      <formula>N91&gt;10%</formula>
    </cfRule>
  </conditionalFormatting>
  <conditionalFormatting sqref="O90">
    <cfRule type="expression" dxfId="47" priority="47">
      <formula>N90&lt;-10%</formula>
    </cfRule>
    <cfRule type="expression" dxfId="46" priority="48">
      <formula>N90&gt;10%</formula>
    </cfRule>
  </conditionalFormatting>
  <conditionalFormatting sqref="O92">
    <cfRule type="expression" dxfId="45" priority="45">
      <formula>N92&lt;-10%</formula>
    </cfRule>
    <cfRule type="expression" dxfId="44" priority="46">
      <formula>N92&gt;10%</formula>
    </cfRule>
  </conditionalFormatting>
  <conditionalFormatting sqref="O93">
    <cfRule type="expression" dxfId="43" priority="43">
      <formula>N93&lt;-10%</formula>
    </cfRule>
    <cfRule type="expression" dxfId="42" priority="44">
      <formula>N93&gt;10%</formula>
    </cfRule>
  </conditionalFormatting>
  <conditionalFormatting sqref="O94">
    <cfRule type="expression" dxfId="41" priority="41">
      <formula>N94&lt;-10%</formula>
    </cfRule>
    <cfRule type="expression" dxfId="40" priority="42">
      <formula>N94&gt;10%</formula>
    </cfRule>
  </conditionalFormatting>
  <conditionalFormatting sqref="O95">
    <cfRule type="expression" dxfId="39" priority="39">
      <formula>N95&lt;-10%</formula>
    </cfRule>
    <cfRule type="expression" dxfId="38" priority="40">
      <formula>N95&gt;10%</formula>
    </cfRule>
  </conditionalFormatting>
  <conditionalFormatting sqref="O96">
    <cfRule type="expression" dxfId="37" priority="37">
      <formula>N96&lt;-10%</formula>
    </cfRule>
    <cfRule type="expression" dxfId="36" priority="38">
      <formula>N96&gt;10%</formula>
    </cfRule>
  </conditionalFormatting>
  <conditionalFormatting sqref="O97">
    <cfRule type="expression" dxfId="35" priority="35">
      <formula>N97&lt;-10%</formula>
    </cfRule>
    <cfRule type="expression" dxfId="34" priority="36">
      <formula>N97&gt;10%</formula>
    </cfRule>
  </conditionalFormatting>
  <conditionalFormatting sqref="O100">
    <cfRule type="expression" dxfId="33" priority="33">
      <formula>N100&lt;-10%</formula>
    </cfRule>
    <cfRule type="expression" dxfId="32" priority="34">
      <formula>N100&gt;10%</formula>
    </cfRule>
  </conditionalFormatting>
  <conditionalFormatting sqref="O99">
    <cfRule type="expression" dxfId="31" priority="31">
      <formula>N99&lt;-10%</formula>
    </cfRule>
    <cfRule type="expression" dxfId="30" priority="32">
      <formula>N99&gt;10%</formula>
    </cfRule>
  </conditionalFormatting>
  <conditionalFormatting sqref="O101">
    <cfRule type="expression" dxfId="29" priority="29">
      <formula>N101&lt;-10%</formula>
    </cfRule>
    <cfRule type="expression" dxfId="28" priority="30">
      <formula>N101&gt;10%</formula>
    </cfRule>
  </conditionalFormatting>
  <conditionalFormatting sqref="O102">
    <cfRule type="expression" dxfId="27" priority="27">
      <formula>N102&lt;-10%</formula>
    </cfRule>
    <cfRule type="expression" dxfId="26" priority="28">
      <formula>N102&gt;10%</formula>
    </cfRule>
  </conditionalFormatting>
  <conditionalFormatting sqref="O103">
    <cfRule type="expression" dxfId="25" priority="25">
      <formula>N103&lt;-10%</formula>
    </cfRule>
    <cfRule type="expression" dxfId="24" priority="26">
      <formula>N103&gt;10%</formula>
    </cfRule>
  </conditionalFormatting>
  <conditionalFormatting sqref="O104">
    <cfRule type="expression" dxfId="23" priority="23">
      <formula>N104&lt;-10%</formula>
    </cfRule>
    <cfRule type="expression" dxfId="22" priority="24">
      <formula>N104&gt;10%</formula>
    </cfRule>
  </conditionalFormatting>
  <conditionalFormatting sqref="O105">
    <cfRule type="expression" dxfId="21" priority="21">
      <formula>N105&lt;-10%</formula>
    </cfRule>
    <cfRule type="expression" dxfId="20" priority="22">
      <formula>N105&gt;10%</formula>
    </cfRule>
  </conditionalFormatting>
  <conditionalFormatting sqref="O106">
    <cfRule type="expression" dxfId="19" priority="19">
      <formula>N106&lt;-10%</formula>
    </cfRule>
    <cfRule type="expression" dxfId="18" priority="20">
      <formula>N106&gt;10%</formula>
    </cfRule>
  </conditionalFormatting>
  <conditionalFormatting sqref="O109">
    <cfRule type="expression" dxfId="17" priority="17">
      <formula>N109&lt;-10%</formula>
    </cfRule>
    <cfRule type="expression" dxfId="16" priority="18">
      <formula>N109&gt;10%</formula>
    </cfRule>
  </conditionalFormatting>
  <conditionalFormatting sqref="O108">
    <cfRule type="expression" dxfId="15" priority="15">
      <formula>N108&lt;-10%</formula>
    </cfRule>
    <cfRule type="expression" dxfId="14" priority="16">
      <formula>N108&gt;10%</formula>
    </cfRule>
  </conditionalFormatting>
  <conditionalFormatting sqref="O110">
    <cfRule type="expression" dxfId="13" priority="13">
      <formula>N110&lt;-10%</formula>
    </cfRule>
    <cfRule type="expression" dxfId="12" priority="14">
      <formula>N110&gt;10%</formula>
    </cfRule>
  </conditionalFormatting>
  <conditionalFormatting sqref="O111">
    <cfRule type="expression" dxfId="11" priority="11">
      <formula>N111&lt;-10%</formula>
    </cfRule>
    <cfRule type="expression" dxfId="10" priority="12">
      <formula>N111&gt;10%</formula>
    </cfRule>
  </conditionalFormatting>
  <conditionalFormatting sqref="O112">
    <cfRule type="expression" dxfId="9" priority="9">
      <formula>N112&lt;-10%</formula>
    </cfRule>
    <cfRule type="expression" dxfId="8" priority="10">
      <formula>N112&gt;10%</formula>
    </cfRule>
  </conditionalFormatting>
  <conditionalFormatting sqref="O113">
    <cfRule type="expression" dxfId="7" priority="7">
      <formula>N113&lt;-10%</formula>
    </cfRule>
    <cfRule type="expression" dxfId="6" priority="8">
      <formula>N113&gt;10%</formula>
    </cfRule>
  </conditionalFormatting>
  <conditionalFormatting sqref="O114">
    <cfRule type="expression" dxfId="5" priority="5">
      <formula>N114&lt;-10%</formula>
    </cfRule>
    <cfRule type="expression" dxfId="4" priority="6">
      <formula>N114&gt;10%</formula>
    </cfRule>
  </conditionalFormatting>
  <conditionalFormatting sqref="O115">
    <cfRule type="expression" dxfId="3" priority="3">
      <formula>N115&lt;-10%</formula>
    </cfRule>
    <cfRule type="expression" dxfId="2" priority="4">
      <formula>N115&gt;10%</formula>
    </cfRule>
  </conditionalFormatting>
  <conditionalFormatting sqref="O79">
    <cfRule type="expression" dxfId="1" priority="1">
      <formula>N79&lt;-10%</formula>
    </cfRule>
    <cfRule type="expression" dxfId="0" priority="2">
      <formula>N79&gt;10%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rgb="FF92D050"/>
  </sheetPr>
  <dimension ref="A1:S326"/>
  <sheetViews>
    <sheetView topLeftCell="A285" workbookViewId="0">
      <selection activeCell="D326" sqref="D326"/>
    </sheetView>
  </sheetViews>
  <sheetFormatPr defaultColWidth="8.85546875" defaultRowHeight="12.75"/>
  <cols>
    <col min="1" max="1" width="8.85546875" style="1"/>
    <col min="2" max="2" width="30.28515625" style="1" bestFit="1" customWidth="1"/>
    <col min="3" max="4" width="19" style="151" customWidth="1"/>
    <col min="5" max="16384" width="8.85546875" style="1"/>
  </cols>
  <sheetData>
    <row r="1" spans="1:19">
      <c r="E1" s="1" t="s">
        <v>942</v>
      </c>
      <c r="F1" s="102" t="s">
        <v>975</v>
      </c>
    </row>
    <row r="2" spans="1:19" ht="12.75" customHeight="1">
      <c r="A2" s="39" t="s">
        <v>944</v>
      </c>
      <c r="B2" s="38"/>
      <c r="C2" s="152"/>
      <c r="D2" s="152"/>
      <c r="E2" s="40"/>
      <c r="F2" s="41"/>
      <c r="G2" s="42"/>
      <c r="H2" s="42"/>
      <c r="I2" s="42"/>
      <c r="J2" s="42"/>
      <c r="K2" s="42"/>
      <c r="L2" s="42"/>
      <c r="M2" s="38"/>
      <c r="N2" s="38"/>
      <c r="O2" s="38"/>
      <c r="P2" s="38"/>
      <c r="Q2" s="38"/>
      <c r="R2" s="38"/>
      <c r="S2" s="38"/>
    </row>
    <row r="3" spans="1:19">
      <c r="A3" s="111"/>
      <c r="B3" s="115"/>
      <c r="C3" s="153" t="s">
        <v>1562</v>
      </c>
      <c r="D3" s="225" t="s">
        <v>1761</v>
      </c>
    </row>
    <row r="4" spans="1:19" ht="24">
      <c r="A4" s="112"/>
      <c r="B4" s="103"/>
      <c r="C4" s="154" t="s">
        <v>1563</v>
      </c>
      <c r="D4" s="154" t="s">
        <v>1762</v>
      </c>
    </row>
    <row r="5" spans="1:19">
      <c r="A5" s="113"/>
      <c r="B5" s="105"/>
      <c r="C5" s="155"/>
      <c r="D5" s="155"/>
    </row>
    <row r="6" spans="1:19">
      <c r="A6" s="128" t="s">
        <v>584</v>
      </c>
      <c r="B6" s="106" t="s">
        <v>882</v>
      </c>
      <c r="C6" s="156"/>
      <c r="D6" s="156"/>
      <c r="F6" s="127"/>
    </row>
    <row r="7" spans="1:19">
      <c r="A7" s="107"/>
      <c r="B7" s="108" t="s">
        <v>945</v>
      </c>
      <c r="C7" s="150">
        <v>3.8100000000000002E-2</v>
      </c>
      <c r="D7" s="150">
        <v>4.19E-2</v>
      </c>
    </row>
    <row r="8" spans="1:19">
      <c r="A8" s="107" t="s">
        <v>51</v>
      </c>
      <c r="B8" s="108" t="s">
        <v>52</v>
      </c>
      <c r="C8" s="150">
        <v>2.5700000000000001E-2</v>
      </c>
      <c r="D8" s="150">
        <v>3.1199999999999999E-2</v>
      </c>
    </row>
    <row r="9" spans="1:19">
      <c r="A9" s="107" t="s">
        <v>53</v>
      </c>
      <c r="B9" s="108" t="s">
        <v>54</v>
      </c>
      <c r="C9" s="150">
        <v>2.7099999999999999E-2</v>
      </c>
      <c r="D9" s="150">
        <v>4.48E-2</v>
      </c>
    </row>
    <row r="10" spans="1:19">
      <c r="A10" s="107" t="s">
        <v>55</v>
      </c>
      <c r="B10" s="108" t="s">
        <v>56</v>
      </c>
      <c r="C10" s="150">
        <v>4.6199999999999998E-2</v>
      </c>
      <c r="D10" s="150">
        <v>0.04</v>
      </c>
    </row>
    <row r="11" spans="1:19">
      <c r="A11" s="107" t="s">
        <v>182</v>
      </c>
      <c r="B11" s="108" t="s">
        <v>183</v>
      </c>
      <c r="C11" s="150">
        <v>3.6600000000000001E-2</v>
      </c>
      <c r="D11" s="150">
        <v>4.9399999999999999E-2</v>
      </c>
    </row>
    <row r="12" spans="1:19">
      <c r="A12" s="107" t="s">
        <v>471</v>
      </c>
      <c r="B12" s="108" t="s">
        <v>472</v>
      </c>
      <c r="C12" s="150">
        <v>3.1199999999999999E-2</v>
      </c>
      <c r="D12" s="150">
        <v>3.2199999999999999E-2</v>
      </c>
    </row>
    <row r="13" spans="1:19">
      <c r="A13" s="107" t="s">
        <v>473</v>
      </c>
      <c r="B13" s="108" t="s">
        <v>583</v>
      </c>
      <c r="C13" s="150">
        <v>2.2499999999999999E-2</v>
      </c>
      <c r="D13" s="150">
        <v>3.9100000000000003E-2</v>
      </c>
    </row>
    <row r="14" spans="1:19">
      <c r="A14" s="107" t="s">
        <v>474</v>
      </c>
      <c r="B14" s="108" t="s">
        <v>475</v>
      </c>
      <c r="C14" s="150">
        <v>3.2300000000000002E-2</v>
      </c>
      <c r="D14" s="150">
        <v>3.6600000000000001E-2</v>
      </c>
    </row>
    <row r="15" spans="1:19">
      <c r="A15" s="107" t="s">
        <v>476</v>
      </c>
      <c r="B15" s="108" t="s">
        <v>575</v>
      </c>
      <c r="C15" s="150">
        <v>3.73E-2</v>
      </c>
      <c r="D15" s="150">
        <v>2.5399999999999999E-2</v>
      </c>
    </row>
    <row r="16" spans="1:19">
      <c r="A16" s="107" t="s">
        <v>477</v>
      </c>
      <c r="B16" s="108" t="s">
        <v>194</v>
      </c>
      <c r="C16" s="150">
        <v>4.65E-2</v>
      </c>
      <c r="D16" s="150">
        <v>3.5299999999999998E-2</v>
      </c>
    </row>
    <row r="17" spans="1:4">
      <c r="A17" s="107" t="s">
        <v>195</v>
      </c>
      <c r="B17" s="108" t="s">
        <v>196</v>
      </c>
      <c r="C17" s="150">
        <v>3.2199999999999999E-2</v>
      </c>
      <c r="D17" s="150">
        <v>4.0399999999999998E-2</v>
      </c>
    </row>
    <row r="18" spans="1:4">
      <c r="A18" s="107" t="s">
        <v>197</v>
      </c>
      <c r="B18" s="108" t="s">
        <v>198</v>
      </c>
      <c r="C18" s="150">
        <v>3.4799999999999998E-2</v>
      </c>
      <c r="D18" s="150">
        <v>3.27E-2</v>
      </c>
    </row>
    <row r="19" spans="1:4">
      <c r="A19" s="107" t="s">
        <v>199</v>
      </c>
      <c r="B19" s="108" t="s">
        <v>200</v>
      </c>
      <c r="C19" s="150">
        <v>0.12809999999999999</v>
      </c>
      <c r="D19" s="150">
        <v>1.0699999999999999E-2</v>
      </c>
    </row>
    <row r="20" spans="1:4">
      <c r="A20" s="107" t="s">
        <v>201</v>
      </c>
      <c r="B20" s="108" t="s">
        <v>202</v>
      </c>
      <c r="C20" s="150">
        <v>4.6399999999999997E-2</v>
      </c>
      <c r="D20" s="150">
        <v>5.11E-2</v>
      </c>
    </row>
    <row r="21" spans="1:4">
      <c r="A21" s="107" t="s">
        <v>203</v>
      </c>
      <c r="B21" s="108" t="s">
        <v>13</v>
      </c>
      <c r="C21" s="150">
        <v>0</v>
      </c>
      <c r="D21" s="150">
        <v>2.01E-2</v>
      </c>
    </row>
    <row r="22" spans="1:4">
      <c r="A22" s="107" t="s">
        <v>14</v>
      </c>
      <c r="B22" s="108" t="s">
        <v>15</v>
      </c>
      <c r="C22" s="150">
        <v>2.98E-2</v>
      </c>
      <c r="D22" s="150">
        <v>3.61E-2</v>
      </c>
    </row>
    <row r="23" spans="1:4">
      <c r="A23" s="107" t="s">
        <v>16</v>
      </c>
      <c r="B23" s="108" t="s">
        <v>17</v>
      </c>
      <c r="C23" s="150">
        <v>8.3099999999999993E-2</v>
      </c>
      <c r="D23" s="150">
        <v>7.6499999999999999E-2</v>
      </c>
    </row>
    <row r="24" spans="1:4">
      <c r="A24" s="107" t="s">
        <v>524</v>
      </c>
      <c r="B24" s="108" t="s">
        <v>525</v>
      </c>
      <c r="C24" s="150">
        <v>4.82E-2</v>
      </c>
      <c r="D24" s="150">
        <v>4.9000000000000002E-2</v>
      </c>
    </row>
    <row r="25" spans="1:4">
      <c r="A25" s="107" t="s">
        <v>526</v>
      </c>
      <c r="B25" s="108" t="s">
        <v>527</v>
      </c>
      <c r="C25" s="150">
        <v>5.3699999999999998E-2</v>
      </c>
      <c r="D25" s="150">
        <v>6.2899999999999998E-2</v>
      </c>
    </row>
    <row r="26" spans="1:4">
      <c r="A26" s="107" t="s">
        <v>528</v>
      </c>
      <c r="B26" s="108" t="s">
        <v>529</v>
      </c>
      <c r="C26" s="150">
        <v>3.2000000000000001E-2</v>
      </c>
      <c r="D26" s="150">
        <v>4.6199999999999998E-2</v>
      </c>
    </row>
    <row r="27" spans="1:4">
      <c r="A27" s="107" t="s">
        <v>530</v>
      </c>
      <c r="B27" s="108" t="s">
        <v>531</v>
      </c>
      <c r="C27" s="150">
        <v>0.1535</v>
      </c>
      <c r="D27" s="150">
        <v>0.1048</v>
      </c>
    </row>
    <row r="28" spans="1:4">
      <c r="A28" s="107" t="s">
        <v>532</v>
      </c>
      <c r="B28" s="108" t="s">
        <v>533</v>
      </c>
      <c r="C28" s="150">
        <v>3.9300000000000002E-2</v>
      </c>
      <c r="D28" s="150">
        <v>3.6799999999999999E-2</v>
      </c>
    </row>
    <row r="29" spans="1:4">
      <c r="A29" s="107" t="s">
        <v>534</v>
      </c>
      <c r="B29" s="108" t="s">
        <v>535</v>
      </c>
      <c r="C29" s="150">
        <v>2.47E-2</v>
      </c>
      <c r="D29" s="150">
        <v>3.4500000000000003E-2</v>
      </c>
    </row>
    <row r="30" spans="1:4">
      <c r="A30" s="107" t="s">
        <v>536</v>
      </c>
      <c r="B30" s="108" t="s">
        <v>537</v>
      </c>
      <c r="C30" s="150">
        <v>6.9099999999999995E-2</v>
      </c>
      <c r="D30" s="150">
        <v>2.3599999999999999E-2</v>
      </c>
    </row>
    <row r="31" spans="1:4">
      <c r="A31" s="107" t="s">
        <v>538</v>
      </c>
      <c r="B31" s="108" t="s">
        <v>539</v>
      </c>
      <c r="C31" s="150">
        <v>5.7799999999999997E-2</v>
      </c>
      <c r="D31" s="150">
        <v>7.1800000000000003E-2</v>
      </c>
    </row>
    <row r="32" spans="1:4">
      <c r="A32" s="107" t="s">
        <v>151</v>
      </c>
      <c r="B32" s="108" t="s">
        <v>152</v>
      </c>
      <c r="C32" s="150">
        <v>2.2499999999999999E-2</v>
      </c>
      <c r="D32" s="150">
        <v>2.35E-2</v>
      </c>
    </row>
    <row r="33" spans="1:4">
      <c r="A33" s="107" t="s">
        <v>153</v>
      </c>
      <c r="B33" s="108" t="s">
        <v>154</v>
      </c>
      <c r="C33" s="150">
        <v>2.6499999999999999E-2</v>
      </c>
      <c r="D33" s="150">
        <v>3.0700000000000002E-2</v>
      </c>
    </row>
    <row r="34" spans="1:4">
      <c r="A34" s="107" t="s">
        <v>155</v>
      </c>
      <c r="B34" s="108" t="s">
        <v>156</v>
      </c>
      <c r="C34" s="150">
        <v>1.43E-2</v>
      </c>
      <c r="D34" s="150">
        <v>3.44E-2</v>
      </c>
    </row>
    <row r="35" spans="1:4">
      <c r="A35" s="107" t="s">
        <v>1050</v>
      </c>
      <c r="B35" s="108" t="s">
        <v>1763</v>
      </c>
      <c r="C35" s="150"/>
      <c r="D35" s="150">
        <v>0.08</v>
      </c>
    </row>
    <row r="36" spans="1:4">
      <c r="A36" s="107" t="s">
        <v>157</v>
      </c>
      <c r="B36" s="108" t="s">
        <v>158</v>
      </c>
      <c r="C36" s="150">
        <v>0.15110000000000001</v>
      </c>
      <c r="D36" s="150">
        <v>0.1479</v>
      </c>
    </row>
    <row r="37" spans="1:4">
      <c r="A37" s="107" t="s">
        <v>281</v>
      </c>
      <c r="B37" s="108" t="s">
        <v>282</v>
      </c>
      <c r="C37" s="150">
        <v>3.6700000000000003E-2</v>
      </c>
      <c r="D37" s="150">
        <v>4.07E-2</v>
      </c>
    </row>
    <row r="38" spans="1:4">
      <c r="A38" s="107" t="s">
        <v>283</v>
      </c>
      <c r="B38" s="108" t="s">
        <v>284</v>
      </c>
      <c r="C38" s="150">
        <v>2.7199999999999998E-2</v>
      </c>
      <c r="D38" s="150">
        <v>3.2300000000000002E-2</v>
      </c>
    </row>
    <row r="39" spans="1:4">
      <c r="A39" s="107" t="s">
        <v>285</v>
      </c>
      <c r="B39" s="108" t="s">
        <v>286</v>
      </c>
      <c r="C39" s="150">
        <v>3.7100000000000001E-2</v>
      </c>
      <c r="D39" s="150">
        <v>2.53E-2</v>
      </c>
    </row>
    <row r="40" spans="1:4">
      <c r="A40" s="107" t="s">
        <v>287</v>
      </c>
      <c r="B40" s="108" t="s">
        <v>288</v>
      </c>
      <c r="C40" s="150">
        <v>2.9600000000000001E-2</v>
      </c>
      <c r="D40" s="150">
        <v>3.7100000000000001E-2</v>
      </c>
    </row>
    <row r="41" spans="1:4">
      <c r="A41" s="107" t="s">
        <v>289</v>
      </c>
      <c r="B41" s="108" t="s">
        <v>290</v>
      </c>
      <c r="C41" s="150">
        <v>4.0599999999999997E-2</v>
      </c>
      <c r="D41" s="150">
        <v>1.9699999999999999E-2</v>
      </c>
    </row>
    <row r="42" spans="1:4">
      <c r="A42" s="107" t="s">
        <v>291</v>
      </c>
      <c r="B42" s="108" t="s">
        <v>18</v>
      </c>
      <c r="C42" s="150">
        <v>2.7400000000000001E-2</v>
      </c>
      <c r="D42" s="150">
        <v>2.52E-2</v>
      </c>
    </row>
    <row r="43" spans="1:4">
      <c r="A43" s="107" t="s">
        <v>1013</v>
      </c>
      <c r="B43" s="108" t="s">
        <v>1348</v>
      </c>
      <c r="C43" s="150">
        <v>0.08</v>
      </c>
      <c r="D43" s="150">
        <v>0.08</v>
      </c>
    </row>
    <row r="44" spans="1:4">
      <c r="A44" s="107" t="s">
        <v>19</v>
      </c>
      <c r="B44" s="108" t="s">
        <v>20</v>
      </c>
      <c r="C44" s="150">
        <v>6.9099999999999995E-2</v>
      </c>
      <c r="D44" s="150">
        <v>5.8200000000000002E-2</v>
      </c>
    </row>
    <row r="45" spans="1:4">
      <c r="A45" s="107" t="s">
        <v>21</v>
      </c>
      <c r="B45" s="108" t="s">
        <v>22</v>
      </c>
      <c r="C45" s="150">
        <v>3.3099999999999997E-2</v>
      </c>
      <c r="D45" s="150">
        <v>3.9199999999999999E-2</v>
      </c>
    </row>
    <row r="46" spans="1:4">
      <c r="A46" s="107" t="s">
        <v>23</v>
      </c>
      <c r="B46" s="108" t="s">
        <v>24</v>
      </c>
      <c r="C46" s="150">
        <v>6.6699999999999995E-2</v>
      </c>
      <c r="D46" s="150">
        <v>0.10249999999999999</v>
      </c>
    </row>
    <row r="47" spans="1:4">
      <c r="A47" s="107" t="s">
        <v>25</v>
      </c>
      <c r="B47" s="108" t="s">
        <v>26</v>
      </c>
      <c r="C47" s="150">
        <v>4.5600000000000002E-2</v>
      </c>
      <c r="D47" s="150">
        <v>5.3999999999999999E-2</v>
      </c>
    </row>
    <row r="48" spans="1:4">
      <c r="A48" s="107" t="s">
        <v>27</v>
      </c>
      <c r="B48" s="108" t="s">
        <v>28</v>
      </c>
      <c r="C48" s="150">
        <v>4.1099999999999998E-2</v>
      </c>
      <c r="D48" s="150">
        <v>4.6899999999999997E-2</v>
      </c>
    </row>
    <row r="49" spans="1:4">
      <c r="A49" s="107" t="s">
        <v>29</v>
      </c>
      <c r="B49" s="108" t="s">
        <v>147</v>
      </c>
      <c r="C49" s="150">
        <v>3.1099999999999999E-2</v>
      </c>
      <c r="D49" s="150">
        <v>2.5700000000000001E-2</v>
      </c>
    </row>
    <row r="50" spans="1:4">
      <c r="A50" s="107" t="s">
        <v>148</v>
      </c>
      <c r="B50" s="108" t="s">
        <v>149</v>
      </c>
      <c r="C50" s="150">
        <v>3.8600000000000002E-2</v>
      </c>
      <c r="D50" s="150">
        <v>3.4200000000000001E-2</v>
      </c>
    </row>
    <row r="51" spans="1:4">
      <c r="A51" s="107" t="s">
        <v>150</v>
      </c>
      <c r="B51" s="108" t="s">
        <v>883</v>
      </c>
      <c r="C51" s="150">
        <v>4.9399999999999999E-2</v>
      </c>
      <c r="D51" s="150">
        <v>3.5200000000000002E-2</v>
      </c>
    </row>
    <row r="52" spans="1:4">
      <c r="A52" s="107" t="s">
        <v>133</v>
      </c>
      <c r="B52" s="108" t="s">
        <v>884</v>
      </c>
      <c r="C52" s="150">
        <v>3.0499999999999999E-2</v>
      </c>
      <c r="D52" s="150">
        <v>8.6800000000000002E-2</v>
      </c>
    </row>
    <row r="53" spans="1:4">
      <c r="A53" s="107" t="s">
        <v>134</v>
      </c>
      <c r="B53" s="108" t="s">
        <v>135</v>
      </c>
      <c r="C53" s="150">
        <v>2.9499999999999998E-2</v>
      </c>
      <c r="D53" s="150">
        <v>2.3699999999999999E-2</v>
      </c>
    </row>
    <row r="54" spans="1:4">
      <c r="A54" s="107" t="s">
        <v>136</v>
      </c>
      <c r="B54" s="108" t="s">
        <v>137</v>
      </c>
      <c r="C54" s="150">
        <v>5.6800000000000003E-2</v>
      </c>
      <c r="D54" s="150">
        <v>5.3100000000000001E-2</v>
      </c>
    </row>
    <row r="55" spans="1:4">
      <c r="A55" s="107" t="s">
        <v>138</v>
      </c>
      <c r="B55" s="108" t="s">
        <v>139</v>
      </c>
      <c r="C55" s="150">
        <v>4.02E-2</v>
      </c>
      <c r="D55" s="150">
        <v>2.8400000000000002E-2</v>
      </c>
    </row>
    <row r="56" spans="1:4">
      <c r="A56" s="107" t="s">
        <v>140</v>
      </c>
      <c r="B56" s="108" t="s">
        <v>141</v>
      </c>
      <c r="C56" s="150">
        <v>3.85E-2</v>
      </c>
      <c r="D56" s="150">
        <v>4.3900000000000002E-2</v>
      </c>
    </row>
    <row r="57" spans="1:4">
      <c r="A57" s="107" t="s">
        <v>142</v>
      </c>
      <c r="B57" s="108" t="s">
        <v>483</v>
      </c>
      <c r="C57" s="150">
        <v>3.6600000000000001E-2</v>
      </c>
      <c r="D57" s="150">
        <v>4.2000000000000003E-2</v>
      </c>
    </row>
    <row r="58" spans="1:4">
      <c r="A58" s="107" t="s">
        <v>143</v>
      </c>
      <c r="B58" s="108" t="s">
        <v>11</v>
      </c>
      <c r="C58" s="150">
        <v>4.4200000000000003E-2</v>
      </c>
      <c r="D58" s="150">
        <v>5.7599999999999998E-2</v>
      </c>
    </row>
    <row r="59" spans="1:4">
      <c r="A59" s="107" t="s">
        <v>12</v>
      </c>
      <c r="B59" s="108" t="s">
        <v>144</v>
      </c>
      <c r="C59" s="150">
        <v>5.1900000000000002E-2</v>
      </c>
      <c r="D59" s="150">
        <v>1.8100000000000002E-2</v>
      </c>
    </row>
    <row r="60" spans="1:4">
      <c r="A60" s="107" t="s">
        <v>145</v>
      </c>
      <c r="B60" s="108" t="s">
        <v>146</v>
      </c>
      <c r="C60" s="150">
        <v>6.2300000000000001E-2</v>
      </c>
      <c r="D60" s="150">
        <v>6.9199999999999998E-2</v>
      </c>
    </row>
    <row r="61" spans="1:4">
      <c r="A61" s="107" t="s">
        <v>402</v>
      </c>
      <c r="B61" s="108" t="s">
        <v>403</v>
      </c>
      <c r="C61" s="150">
        <v>5.3800000000000001E-2</v>
      </c>
      <c r="D61" s="150">
        <v>4.2599999999999999E-2</v>
      </c>
    </row>
    <row r="62" spans="1:4">
      <c r="A62" s="107" t="s">
        <v>404</v>
      </c>
      <c r="B62" s="108" t="s">
        <v>405</v>
      </c>
      <c r="C62" s="150">
        <v>4.9500000000000002E-2</v>
      </c>
      <c r="D62" s="150">
        <v>3.7400000000000003E-2</v>
      </c>
    </row>
    <row r="63" spans="1:4">
      <c r="A63" s="107" t="s">
        <v>406</v>
      </c>
      <c r="B63" s="108" t="s">
        <v>223</v>
      </c>
      <c r="C63" s="150">
        <v>4.2200000000000001E-2</v>
      </c>
      <c r="D63" s="150">
        <v>3.8300000000000001E-2</v>
      </c>
    </row>
    <row r="64" spans="1:4">
      <c r="A64" s="107" t="s">
        <v>224</v>
      </c>
      <c r="B64" s="108" t="s">
        <v>225</v>
      </c>
      <c r="C64" s="150">
        <v>8.9800000000000005E-2</v>
      </c>
      <c r="D64" s="150">
        <v>7.5499999999999998E-2</v>
      </c>
    </row>
    <row r="65" spans="1:4">
      <c r="A65" s="107" t="s">
        <v>226</v>
      </c>
      <c r="B65" s="108" t="s">
        <v>227</v>
      </c>
      <c r="C65" s="150">
        <v>4.41E-2</v>
      </c>
      <c r="D65" s="150">
        <v>2.5600000000000001E-2</v>
      </c>
    </row>
    <row r="66" spans="1:4">
      <c r="A66" s="107" t="s">
        <v>228</v>
      </c>
      <c r="B66" s="108" t="s">
        <v>229</v>
      </c>
      <c r="C66" s="150">
        <v>2.01E-2</v>
      </c>
      <c r="D66" s="150">
        <v>2.75E-2</v>
      </c>
    </row>
    <row r="67" spans="1:4">
      <c r="A67" s="107" t="s">
        <v>355</v>
      </c>
      <c r="B67" s="108" t="s">
        <v>356</v>
      </c>
      <c r="C67" s="150">
        <v>3.3000000000000002E-2</v>
      </c>
      <c r="D67" s="150">
        <v>4.7500000000000001E-2</v>
      </c>
    </row>
    <row r="68" spans="1:4">
      <c r="A68" s="107" t="s">
        <v>357</v>
      </c>
      <c r="B68" s="108" t="s">
        <v>358</v>
      </c>
      <c r="C68" s="150">
        <v>2.2599999999999999E-2</v>
      </c>
      <c r="D68" s="150">
        <v>1.4800000000000001E-2</v>
      </c>
    </row>
    <row r="69" spans="1:4">
      <c r="A69" s="107" t="s">
        <v>359</v>
      </c>
      <c r="B69" s="108" t="s">
        <v>360</v>
      </c>
      <c r="C69" s="150">
        <v>0.23930000000000001</v>
      </c>
      <c r="D69" s="150">
        <v>0.1857</v>
      </c>
    </row>
    <row r="70" spans="1:4">
      <c r="A70" s="107" t="s">
        <v>230</v>
      </c>
      <c r="B70" s="108" t="s">
        <v>885</v>
      </c>
      <c r="C70" s="150">
        <v>3.8699999999999998E-2</v>
      </c>
      <c r="D70" s="150">
        <v>3.4799999999999998E-2</v>
      </c>
    </row>
    <row r="71" spans="1:4">
      <c r="A71" s="107" t="s">
        <v>231</v>
      </c>
      <c r="B71" s="108" t="s">
        <v>886</v>
      </c>
      <c r="C71" s="150">
        <v>3.73E-2</v>
      </c>
      <c r="D71" s="150">
        <v>4.7399999999999998E-2</v>
      </c>
    </row>
    <row r="72" spans="1:4">
      <c r="A72" s="107" t="s">
        <v>232</v>
      </c>
      <c r="B72" s="108" t="s">
        <v>233</v>
      </c>
      <c r="C72" s="150">
        <v>5.0099999999999999E-2</v>
      </c>
      <c r="D72" s="150">
        <v>4.4600000000000001E-2</v>
      </c>
    </row>
    <row r="73" spans="1:4">
      <c r="A73" s="107" t="s">
        <v>234</v>
      </c>
      <c r="B73" s="108" t="s">
        <v>235</v>
      </c>
      <c r="C73" s="150">
        <v>6.9599999999999995E-2</v>
      </c>
      <c r="D73" s="150">
        <v>0.4042</v>
      </c>
    </row>
    <row r="74" spans="1:4">
      <c r="A74" s="107" t="s">
        <v>236</v>
      </c>
      <c r="B74" s="108" t="s">
        <v>237</v>
      </c>
      <c r="C74" s="150">
        <v>3.5400000000000001E-2</v>
      </c>
      <c r="D74" s="150">
        <v>3.2199999999999999E-2</v>
      </c>
    </row>
    <row r="75" spans="1:4">
      <c r="A75" s="107" t="s">
        <v>238</v>
      </c>
      <c r="B75" s="108" t="s">
        <v>239</v>
      </c>
      <c r="C75" s="150">
        <v>2.8500000000000001E-2</v>
      </c>
      <c r="D75" s="150">
        <v>4.2299999999999997E-2</v>
      </c>
    </row>
    <row r="76" spans="1:4">
      <c r="A76" s="107" t="s">
        <v>240</v>
      </c>
      <c r="B76" s="108" t="s">
        <v>241</v>
      </c>
      <c r="C76" s="150">
        <v>3.3700000000000001E-2</v>
      </c>
      <c r="D76" s="150">
        <v>4.9500000000000002E-2</v>
      </c>
    </row>
    <row r="77" spans="1:4">
      <c r="A77" s="107" t="s">
        <v>409</v>
      </c>
      <c r="B77" s="108" t="s">
        <v>410</v>
      </c>
      <c r="C77" s="150">
        <v>5.5800000000000002E-2</v>
      </c>
      <c r="D77" s="150">
        <v>6.3799999999999996E-2</v>
      </c>
    </row>
    <row r="78" spans="1:4">
      <c r="A78" s="107" t="s">
        <v>411</v>
      </c>
      <c r="B78" s="108" t="s">
        <v>412</v>
      </c>
      <c r="C78" s="150">
        <v>3.8399999999999997E-2</v>
      </c>
      <c r="D78" s="150">
        <v>2.8400000000000002E-2</v>
      </c>
    </row>
    <row r="79" spans="1:4">
      <c r="A79" s="107" t="s">
        <v>413</v>
      </c>
      <c r="B79" s="108" t="s">
        <v>414</v>
      </c>
      <c r="C79" s="150">
        <v>7.7799999999999994E-2</v>
      </c>
      <c r="D79" s="150">
        <v>7.8100000000000003E-2</v>
      </c>
    </row>
    <row r="80" spans="1:4">
      <c r="A80" s="107" t="s">
        <v>415</v>
      </c>
      <c r="B80" s="108" t="s">
        <v>416</v>
      </c>
      <c r="C80" s="150">
        <v>4.9099999999999998E-2</v>
      </c>
      <c r="D80" s="150">
        <v>4.2000000000000003E-2</v>
      </c>
    </row>
    <row r="81" spans="1:4">
      <c r="A81" s="107" t="s">
        <v>417</v>
      </c>
      <c r="B81" s="108" t="s">
        <v>418</v>
      </c>
      <c r="C81" s="150">
        <v>4.41E-2</v>
      </c>
      <c r="D81" s="150">
        <v>5.1999999999999998E-2</v>
      </c>
    </row>
    <row r="82" spans="1:4">
      <c r="A82" s="107" t="s">
        <v>419</v>
      </c>
      <c r="B82" s="108" t="s">
        <v>512</v>
      </c>
      <c r="C82" s="150">
        <v>0.184</v>
      </c>
      <c r="D82" s="150">
        <v>0.17269999999999999</v>
      </c>
    </row>
    <row r="83" spans="1:4">
      <c r="A83" s="107" t="s">
        <v>513</v>
      </c>
      <c r="B83" s="108" t="s">
        <v>514</v>
      </c>
      <c r="C83" s="150">
        <v>2.9600000000000001E-2</v>
      </c>
      <c r="D83" s="150">
        <v>3.7100000000000001E-2</v>
      </c>
    </row>
    <row r="84" spans="1:4">
      <c r="A84" s="107" t="s">
        <v>515</v>
      </c>
      <c r="B84" s="108" t="s">
        <v>887</v>
      </c>
      <c r="C84" s="150">
        <v>2.7900000000000001E-2</v>
      </c>
      <c r="D84" s="150">
        <v>3.9E-2</v>
      </c>
    </row>
    <row r="85" spans="1:4">
      <c r="A85" s="107" t="s">
        <v>516</v>
      </c>
      <c r="B85" s="108" t="s">
        <v>888</v>
      </c>
      <c r="C85" s="150">
        <v>7.4399999999999994E-2</v>
      </c>
      <c r="D85" s="150">
        <v>7.5700000000000003E-2</v>
      </c>
    </row>
    <row r="86" spans="1:4">
      <c r="A86" s="107" t="s">
        <v>517</v>
      </c>
      <c r="B86" s="108" t="s">
        <v>518</v>
      </c>
      <c r="C86" s="150">
        <v>3.2800000000000003E-2</v>
      </c>
      <c r="D86" s="150">
        <v>3.7100000000000001E-2</v>
      </c>
    </row>
    <row r="87" spans="1:4">
      <c r="A87" s="107" t="s">
        <v>420</v>
      </c>
      <c r="B87" s="108" t="s">
        <v>421</v>
      </c>
      <c r="C87" s="150">
        <v>5.2699999999999997E-2</v>
      </c>
      <c r="D87" s="150">
        <v>5.1200000000000002E-2</v>
      </c>
    </row>
    <row r="88" spans="1:4">
      <c r="A88" s="107" t="s">
        <v>422</v>
      </c>
      <c r="B88" s="108" t="s">
        <v>423</v>
      </c>
      <c r="C88" s="150">
        <v>4.1700000000000001E-2</v>
      </c>
      <c r="D88" s="150">
        <v>6.5500000000000003E-2</v>
      </c>
    </row>
    <row r="89" spans="1:4">
      <c r="A89" s="107" t="s">
        <v>424</v>
      </c>
      <c r="B89" s="108" t="s">
        <v>425</v>
      </c>
      <c r="C89" s="150">
        <v>3.8800000000000001E-2</v>
      </c>
      <c r="D89" s="150">
        <v>2.8199999999999999E-2</v>
      </c>
    </row>
    <row r="90" spans="1:4">
      <c r="A90" s="107" t="s">
        <v>426</v>
      </c>
      <c r="B90" s="108" t="s">
        <v>427</v>
      </c>
      <c r="C90" s="150">
        <v>2.06E-2</v>
      </c>
      <c r="D90" s="150">
        <v>3.5200000000000002E-2</v>
      </c>
    </row>
    <row r="91" spans="1:4">
      <c r="A91" s="107" t="s">
        <v>428</v>
      </c>
      <c r="B91" s="108" t="s">
        <v>429</v>
      </c>
      <c r="C91" s="150">
        <v>2.4799999999999999E-2</v>
      </c>
      <c r="D91" s="150">
        <v>3.1099999999999999E-2</v>
      </c>
    </row>
    <row r="92" spans="1:4">
      <c r="A92" s="107" t="s">
        <v>430</v>
      </c>
      <c r="B92" s="108" t="s">
        <v>431</v>
      </c>
      <c r="C92" s="150">
        <v>0</v>
      </c>
      <c r="D92" s="150">
        <v>6.0100000000000001E-2</v>
      </c>
    </row>
    <row r="93" spans="1:4">
      <c r="A93" s="107" t="s">
        <v>432</v>
      </c>
      <c r="B93" s="108" t="s">
        <v>433</v>
      </c>
      <c r="C93" s="150">
        <v>6.5500000000000003E-2</v>
      </c>
      <c r="D93" s="150">
        <v>5.3499999999999999E-2</v>
      </c>
    </row>
    <row r="94" spans="1:4">
      <c r="A94" s="107" t="s">
        <v>434</v>
      </c>
      <c r="B94" s="108" t="s">
        <v>435</v>
      </c>
      <c r="C94" s="150">
        <v>3.0099999999999998E-2</v>
      </c>
      <c r="D94" s="150">
        <v>6.6299999999999998E-2</v>
      </c>
    </row>
    <row r="95" spans="1:4">
      <c r="A95" s="109" t="s">
        <v>436</v>
      </c>
      <c r="B95" s="108" t="s">
        <v>218</v>
      </c>
      <c r="C95" s="150">
        <v>4.2599999999999999E-2</v>
      </c>
      <c r="D95" s="150">
        <v>6.2600000000000003E-2</v>
      </c>
    </row>
    <row r="96" spans="1:4">
      <c r="A96" s="107" t="s">
        <v>219</v>
      </c>
      <c r="B96" s="108" t="s">
        <v>220</v>
      </c>
      <c r="C96" s="150">
        <v>6.2199999999999998E-2</v>
      </c>
      <c r="D96" s="150">
        <v>6.5299999999999997E-2</v>
      </c>
    </row>
    <row r="97" spans="1:4">
      <c r="A97" s="107" t="s">
        <v>221</v>
      </c>
      <c r="B97" s="108" t="s">
        <v>222</v>
      </c>
      <c r="C97" s="150">
        <v>5.1999999999999998E-2</v>
      </c>
      <c r="D97" s="150">
        <v>3.2199999999999999E-2</v>
      </c>
    </row>
    <row r="98" spans="1:4">
      <c r="A98" s="107" t="s">
        <v>313</v>
      </c>
      <c r="B98" s="108" t="s">
        <v>438</v>
      </c>
      <c r="C98" s="150">
        <v>2.9499999999999998E-2</v>
      </c>
      <c r="D98" s="150">
        <v>3.9300000000000002E-2</v>
      </c>
    </row>
    <row r="99" spans="1:4">
      <c r="A99" s="112" t="s">
        <v>439</v>
      </c>
      <c r="B99" s="104" t="s">
        <v>440</v>
      </c>
      <c r="C99" s="150">
        <v>7.8200000000000006E-2</v>
      </c>
      <c r="D99" s="150">
        <v>9.2499999999999999E-2</v>
      </c>
    </row>
    <row r="100" spans="1:4">
      <c r="A100" s="112" t="s">
        <v>441</v>
      </c>
      <c r="B100" s="104" t="s">
        <v>442</v>
      </c>
      <c r="C100" s="150">
        <v>0.10150000000000001</v>
      </c>
      <c r="D100" s="150">
        <v>9.5500000000000002E-2</v>
      </c>
    </row>
    <row r="101" spans="1:4">
      <c r="A101" s="114" t="s">
        <v>961</v>
      </c>
      <c r="B101" s="104" t="s">
        <v>946</v>
      </c>
      <c r="C101" s="150">
        <v>0.08</v>
      </c>
      <c r="D101" s="150">
        <v>0.08</v>
      </c>
    </row>
    <row r="102" spans="1:4">
      <c r="A102" s="107" t="s">
        <v>443</v>
      </c>
      <c r="B102" s="108" t="s">
        <v>444</v>
      </c>
      <c r="C102" s="150">
        <v>3.04E-2</v>
      </c>
      <c r="D102" s="150">
        <v>5.8500000000000003E-2</v>
      </c>
    </row>
    <row r="103" spans="1:4">
      <c r="A103" s="107" t="s">
        <v>445</v>
      </c>
      <c r="B103" s="108" t="s">
        <v>446</v>
      </c>
      <c r="C103" s="150">
        <v>3.3399999999999999E-2</v>
      </c>
      <c r="D103" s="150">
        <v>3.95E-2</v>
      </c>
    </row>
    <row r="104" spans="1:4">
      <c r="A104" s="107" t="s">
        <v>447</v>
      </c>
      <c r="B104" s="108" t="s">
        <v>448</v>
      </c>
      <c r="C104" s="150">
        <v>4.4299999999999999E-2</v>
      </c>
      <c r="D104" s="150">
        <v>4.4699999999999997E-2</v>
      </c>
    </row>
    <row r="105" spans="1:4">
      <c r="A105" s="107" t="s">
        <v>449</v>
      </c>
      <c r="B105" s="108" t="s">
        <v>450</v>
      </c>
      <c r="C105" s="150">
        <v>6.3E-2</v>
      </c>
      <c r="D105" s="150">
        <v>5.4199999999999998E-2</v>
      </c>
    </row>
    <row r="106" spans="1:4">
      <c r="A106" s="107" t="s">
        <v>332</v>
      </c>
      <c r="B106" s="108" t="s">
        <v>333</v>
      </c>
      <c r="C106" s="150">
        <v>4.1099999999999998E-2</v>
      </c>
      <c r="D106" s="150">
        <v>3.85E-2</v>
      </c>
    </row>
    <row r="107" spans="1:4">
      <c r="A107" s="107" t="s">
        <v>334</v>
      </c>
      <c r="B107" s="108" t="s">
        <v>335</v>
      </c>
      <c r="C107" s="150">
        <v>5.4899999999999997E-2</v>
      </c>
      <c r="D107" s="150">
        <v>5.3100000000000001E-2</v>
      </c>
    </row>
    <row r="108" spans="1:4">
      <c r="A108" s="107" t="s">
        <v>336</v>
      </c>
      <c r="B108" s="108" t="s">
        <v>337</v>
      </c>
      <c r="C108" s="150">
        <v>6.08E-2</v>
      </c>
      <c r="D108" s="150">
        <v>7.1400000000000005E-2</v>
      </c>
    </row>
    <row r="109" spans="1:4">
      <c r="A109" s="107" t="s">
        <v>338</v>
      </c>
      <c r="B109" s="108" t="s">
        <v>339</v>
      </c>
      <c r="C109" s="150">
        <v>8.8999999999999999E-3</v>
      </c>
      <c r="D109" s="150">
        <v>4.0500000000000001E-2</v>
      </c>
    </row>
    <row r="110" spans="1:4">
      <c r="A110" s="107" t="s">
        <v>1509</v>
      </c>
      <c r="B110" s="108" t="s">
        <v>1764</v>
      </c>
      <c r="C110" s="150"/>
      <c r="D110" s="150">
        <v>0.08</v>
      </c>
    </row>
    <row r="111" spans="1:4">
      <c r="A111" s="107" t="s">
        <v>964</v>
      </c>
      <c r="B111" s="108" t="s">
        <v>1349</v>
      </c>
      <c r="C111" s="150">
        <v>0.08</v>
      </c>
      <c r="D111" s="150">
        <v>0.08</v>
      </c>
    </row>
    <row r="112" spans="1:4">
      <c r="A112" s="107" t="s">
        <v>1051</v>
      </c>
      <c r="B112" s="108" t="s">
        <v>1765</v>
      </c>
      <c r="C112" s="150"/>
      <c r="D112" s="150">
        <v>0.08</v>
      </c>
    </row>
    <row r="113" spans="1:4">
      <c r="A113" s="107" t="s">
        <v>340</v>
      </c>
      <c r="B113" s="108" t="s">
        <v>341</v>
      </c>
      <c r="C113" s="150">
        <v>8.1699999999999995E-2</v>
      </c>
      <c r="D113" s="150">
        <v>9.6600000000000005E-2</v>
      </c>
    </row>
    <row r="114" spans="1:4">
      <c r="A114" s="107" t="s">
        <v>342</v>
      </c>
      <c r="B114" s="108" t="s">
        <v>343</v>
      </c>
      <c r="C114" s="150">
        <v>0.20880000000000001</v>
      </c>
      <c r="D114" s="150">
        <v>0.26629999999999998</v>
      </c>
    </row>
    <row r="115" spans="1:4">
      <c r="A115" s="107" t="s">
        <v>344</v>
      </c>
      <c r="B115" s="108" t="s">
        <v>345</v>
      </c>
      <c r="C115" s="150">
        <v>2.2499999999999999E-2</v>
      </c>
      <c r="D115" s="150">
        <v>2.8899999999999999E-2</v>
      </c>
    </row>
    <row r="116" spans="1:4">
      <c r="A116" s="107" t="s">
        <v>346</v>
      </c>
      <c r="B116" s="108" t="s">
        <v>347</v>
      </c>
      <c r="C116" s="150">
        <v>5.3800000000000001E-2</v>
      </c>
      <c r="D116" s="150">
        <v>6.7400000000000002E-2</v>
      </c>
    </row>
    <row r="117" spans="1:4">
      <c r="A117" s="107" t="s">
        <v>452</v>
      </c>
      <c r="B117" s="108" t="s">
        <v>453</v>
      </c>
      <c r="C117" s="150">
        <v>6.5299999999999997E-2</v>
      </c>
      <c r="D117" s="150">
        <v>3.6600000000000001E-2</v>
      </c>
    </row>
    <row r="118" spans="1:4">
      <c r="A118" s="107" t="s">
        <v>454</v>
      </c>
      <c r="B118" s="108" t="s">
        <v>455</v>
      </c>
      <c r="C118" s="150">
        <v>3.6900000000000002E-2</v>
      </c>
      <c r="D118" s="150">
        <v>2.4299999999999999E-2</v>
      </c>
    </row>
    <row r="119" spans="1:4">
      <c r="A119" s="107" t="s">
        <v>456</v>
      </c>
      <c r="B119" s="108" t="s">
        <v>457</v>
      </c>
      <c r="C119" s="150">
        <v>6.2700000000000006E-2</v>
      </c>
      <c r="D119" s="150">
        <v>5.2900000000000003E-2</v>
      </c>
    </row>
    <row r="120" spans="1:4">
      <c r="A120" s="107" t="s">
        <v>458</v>
      </c>
      <c r="B120" s="108" t="s">
        <v>459</v>
      </c>
      <c r="C120" s="150">
        <v>3.6999999999999998E-2</v>
      </c>
      <c r="D120" s="150">
        <v>4.99E-2</v>
      </c>
    </row>
    <row r="121" spans="1:4">
      <c r="A121" s="107" t="s">
        <v>460</v>
      </c>
      <c r="B121" s="108" t="s">
        <v>478</v>
      </c>
      <c r="C121" s="150">
        <v>3.8100000000000002E-2</v>
      </c>
      <c r="D121" s="150">
        <v>4.2900000000000001E-2</v>
      </c>
    </row>
    <row r="122" spans="1:4">
      <c r="A122" s="107" t="s">
        <v>479</v>
      </c>
      <c r="B122" s="108" t="s">
        <v>480</v>
      </c>
      <c r="C122" s="150">
        <v>4.3200000000000002E-2</v>
      </c>
      <c r="D122" s="150">
        <v>4.7199999999999999E-2</v>
      </c>
    </row>
    <row r="123" spans="1:4">
      <c r="A123" s="107" t="s">
        <v>481</v>
      </c>
      <c r="B123" s="108" t="s">
        <v>889</v>
      </c>
      <c r="C123" s="150">
        <v>6.8099999999999994E-2</v>
      </c>
      <c r="D123" s="150">
        <v>7.6499999999999999E-2</v>
      </c>
    </row>
    <row r="124" spans="1:4">
      <c r="A124" s="107" t="s">
        <v>482</v>
      </c>
      <c r="B124" s="108" t="s">
        <v>292</v>
      </c>
      <c r="C124" s="150">
        <v>6.0499999999999998E-2</v>
      </c>
      <c r="D124" s="150">
        <v>5.4800000000000001E-2</v>
      </c>
    </row>
    <row r="125" spans="1:4">
      <c r="A125" s="107" t="s">
        <v>293</v>
      </c>
      <c r="B125" s="108" t="s">
        <v>294</v>
      </c>
      <c r="C125" s="150">
        <v>9.8799999999999999E-2</v>
      </c>
      <c r="D125" s="150">
        <v>7.8200000000000006E-2</v>
      </c>
    </row>
    <row r="126" spans="1:4">
      <c r="A126" s="107" t="s">
        <v>295</v>
      </c>
      <c r="B126" s="108" t="s">
        <v>296</v>
      </c>
      <c r="C126" s="150">
        <v>3.7999999999999999E-2</v>
      </c>
      <c r="D126" s="150">
        <v>6.5799999999999997E-2</v>
      </c>
    </row>
    <row r="127" spans="1:4">
      <c r="A127" s="107" t="s">
        <v>121</v>
      </c>
      <c r="B127" s="108" t="s">
        <v>122</v>
      </c>
      <c r="C127" s="150">
        <v>5.8999999999999999E-3</v>
      </c>
      <c r="D127" s="150">
        <v>4.1000000000000002E-2</v>
      </c>
    </row>
    <row r="128" spans="1:4">
      <c r="A128" s="107" t="s">
        <v>123</v>
      </c>
      <c r="B128" s="108" t="s">
        <v>581</v>
      </c>
      <c r="C128" s="150">
        <v>3.09E-2</v>
      </c>
      <c r="D128" s="150">
        <v>3.5200000000000002E-2</v>
      </c>
    </row>
    <row r="129" spans="1:4">
      <c r="A129" s="107" t="s">
        <v>124</v>
      </c>
      <c r="B129" s="108" t="s">
        <v>125</v>
      </c>
      <c r="C129" s="150">
        <v>4.7800000000000002E-2</v>
      </c>
      <c r="D129" s="150">
        <v>2.6700000000000002E-2</v>
      </c>
    </row>
    <row r="130" spans="1:4">
      <c r="A130" s="107" t="s">
        <v>126</v>
      </c>
      <c r="B130" s="108" t="s">
        <v>127</v>
      </c>
      <c r="C130" s="150">
        <v>3.5099999999999999E-2</v>
      </c>
      <c r="D130" s="150">
        <v>4.02E-2</v>
      </c>
    </row>
    <row r="131" spans="1:4">
      <c r="A131" s="107" t="s">
        <v>128</v>
      </c>
      <c r="B131" s="108" t="s">
        <v>129</v>
      </c>
      <c r="C131" s="150">
        <v>3.0099999999999998E-2</v>
      </c>
      <c r="D131" s="150">
        <v>3.95E-2</v>
      </c>
    </row>
    <row r="132" spans="1:4">
      <c r="A132" s="107" t="s">
        <v>130</v>
      </c>
      <c r="B132" s="108" t="s">
        <v>131</v>
      </c>
      <c r="C132" s="150">
        <v>5.2400000000000002E-2</v>
      </c>
      <c r="D132" s="150">
        <v>6.1100000000000002E-2</v>
      </c>
    </row>
    <row r="133" spans="1:4">
      <c r="A133" s="107" t="s">
        <v>132</v>
      </c>
      <c r="B133" s="108" t="s">
        <v>461</v>
      </c>
      <c r="C133" s="150">
        <v>0.17749999999999999</v>
      </c>
      <c r="D133" s="150">
        <v>0.2198</v>
      </c>
    </row>
    <row r="134" spans="1:4">
      <c r="A134" s="107" t="s">
        <v>462</v>
      </c>
      <c r="B134" s="108" t="s">
        <v>463</v>
      </c>
      <c r="C134" s="150">
        <v>4.4299999999999999E-2</v>
      </c>
      <c r="D134" s="150">
        <v>2.3699999999999999E-2</v>
      </c>
    </row>
    <row r="135" spans="1:4">
      <c r="A135" s="107" t="s">
        <v>464</v>
      </c>
      <c r="B135" s="108" t="s">
        <v>465</v>
      </c>
      <c r="C135" s="150">
        <v>1.38E-2</v>
      </c>
      <c r="D135" s="150">
        <v>5.4899999999999997E-2</v>
      </c>
    </row>
    <row r="136" spans="1:4">
      <c r="A136" s="107" t="s">
        <v>466</v>
      </c>
      <c r="B136" s="108" t="s">
        <v>467</v>
      </c>
      <c r="C136" s="150">
        <v>4.1000000000000002E-2</v>
      </c>
      <c r="D136" s="150">
        <v>5.8799999999999998E-2</v>
      </c>
    </row>
    <row r="137" spans="1:4">
      <c r="A137" s="107" t="s">
        <v>468</v>
      </c>
      <c r="B137" s="108" t="s">
        <v>469</v>
      </c>
      <c r="C137" s="150">
        <v>0.1065</v>
      </c>
      <c r="D137" s="150">
        <v>0.14829999999999999</v>
      </c>
    </row>
    <row r="138" spans="1:4">
      <c r="A138" s="112" t="s">
        <v>470</v>
      </c>
      <c r="B138" s="104" t="s">
        <v>30</v>
      </c>
      <c r="C138" s="150">
        <v>3.9399999999999998E-2</v>
      </c>
      <c r="D138" s="150">
        <v>0.111</v>
      </c>
    </row>
    <row r="139" spans="1:4">
      <c r="A139" s="112" t="s">
        <v>1052</v>
      </c>
      <c r="B139" s="104" t="s">
        <v>1766</v>
      </c>
      <c r="C139" s="150"/>
      <c r="D139" s="150">
        <v>0.08</v>
      </c>
    </row>
    <row r="140" spans="1:4">
      <c r="A140" s="107" t="s">
        <v>931</v>
      </c>
      <c r="B140" s="108" t="s">
        <v>947</v>
      </c>
      <c r="C140" s="150">
        <v>0.08</v>
      </c>
      <c r="D140" s="150">
        <v>0.08</v>
      </c>
    </row>
    <row r="141" spans="1:4">
      <c r="A141" s="107" t="s">
        <v>486</v>
      </c>
      <c r="B141" s="108" t="s">
        <v>487</v>
      </c>
      <c r="C141" s="150">
        <v>2.9399999999999999E-2</v>
      </c>
      <c r="D141" s="150">
        <v>2.98E-2</v>
      </c>
    </row>
    <row r="142" spans="1:4">
      <c r="A142" s="107" t="s">
        <v>488</v>
      </c>
      <c r="B142" s="108" t="s">
        <v>489</v>
      </c>
      <c r="C142" s="150">
        <v>2.2599999999999999E-2</v>
      </c>
      <c r="D142" s="150">
        <v>4.4200000000000003E-2</v>
      </c>
    </row>
    <row r="143" spans="1:4">
      <c r="A143" s="107" t="s">
        <v>490</v>
      </c>
      <c r="B143" s="108" t="s">
        <v>491</v>
      </c>
      <c r="C143" s="150">
        <v>4.3499999999999997E-2</v>
      </c>
      <c r="D143" s="150">
        <v>6.93E-2</v>
      </c>
    </row>
    <row r="144" spans="1:4">
      <c r="A144" s="107" t="s">
        <v>492</v>
      </c>
      <c r="B144" s="108" t="s">
        <v>493</v>
      </c>
      <c r="C144" s="150">
        <v>3.0200000000000001E-2</v>
      </c>
      <c r="D144" s="150">
        <v>2.4199999999999999E-2</v>
      </c>
    </row>
    <row r="145" spans="1:4">
      <c r="A145" s="107" t="s">
        <v>494</v>
      </c>
      <c r="B145" s="108" t="s">
        <v>495</v>
      </c>
      <c r="C145" s="150">
        <v>3.2399999999999998E-2</v>
      </c>
      <c r="D145" s="150">
        <v>3.9699999999999999E-2</v>
      </c>
    </row>
    <row r="146" spans="1:4">
      <c r="A146" s="107" t="s">
        <v>496</v>
      </c>
      <c r="B146" s="108" t="s">
        <v>576</v>
      </c>
      <c r="C146" s="150">
        <v>1.1900000000000001E-2</v>
      </c>
      <c r="D146" s="150">
        <v>2.5000000000000001E-3</v>
      </c>
    </row>
    <row r="147" spans="1:4">
      <c r="A147" s="107" t="s">
        <v>497</v>
      </c>
      <c r="B147" s="108" t="s">
        <v>498</v>
      </c>
      <c r="C147" s="150">
        <v>8.4599999999999995E-2</v>
      </c>
      <c r="D147" s="150">
        <v>7.3899999999999993E-2</v>
      </c>
    </row>
    <row r="148" spans="1:4">
      <c r="A148" s="107" t="s">
        <v>499</v>
      </c>
      <c r="B148" s="108" t="s">
        <v>37</v>
      </c>
      <c r="C148" s="150">
        <v>3.8100000000000002E-2</v>
      </c>
      <c r="D148" s="150">
        <v>4.53E-2</v>
      </c>
    </row>
    <row r="149" spans="1:4">
      <c r="A149" s="107" t="s">
        <v>38</v>
      </c>
      <c r="B149" s="108" t="s">
        <v>574</v>
      </c>
      <c r="C149" s="150">
        <v>8.0000000000000004E-4</v>
      </c>
      <c r="D149" s="150">
        <v>4.6600000000000003E-2</v>
      </c>
    </row>
    <row r="150" spans="1:4">
      <c r="A150" s="107" t="s">
        <v>39</v>
      </c>
      <c r="B150" s="108" t="s">
        <v>40</v>
      </c>
      <c r="C150" s="150">
        <v>3.3399999999999999E-2</v>
      </c>
      <c r="D150" s="150">
        <v>4.1200000000000001E-2</v>
      </c>
    </row>
    <row r="151" spans="1:4">
      <c r="A151" s="107" t="s">
        <v>41</v>
      </c>
      <c r="B151" s="108" t="s">
        <v>42</v>
      </c>
      <c r="C151" s="150">
        <v>4.5100000000000001E-2</v>
      </c>
      <c r="D151" s="150">
        <v>4.6899999999999997E-2</v>
      </c>
    </row>
    <row r="152" spans="1:4">
      <c r="A152" s="107" t="s">
        <v>43</v>
      </c>
      <c r="B152" s="108" t="s">
        <v>44</v>
      </c>
      <c r="C152" s="150">
        <v>3.9E-2</v>
      </c>
      <c r="D152" s="150">
        <v>3.8800000000000001E-2</v>
      </c>
    </row>
    <row r="153" spans="1:4">
      <c r="A153" s="107" t="s">
        <v>45</v>
      </c>
      <c r="B153" s="108" t="s">
        <v>46</v>
      </c>
      <c r="C153" s="150">
        <v>5.62E-2</v>
      </c>
      <c r="D153" s="150">
        <v>6.1400000000000003E-2</v>
      </c>
    </row>
    <row r="154" spans="1:4">
      <c r="A154" s="107" t="s">
        <v>47</v>
      </c>
      <c r="B154" s="108" t="s">
        <v>68</v>
      </c>
      <c r="C154" s="150">
        <v>4.0399999999999998E-2</v>
      </c>
      <c r="D154" s="150">
        <v>4.2299999999999997E-2</v>
      </c>
    </row>
    <row r="155" spans="1:4">
      <c r="A155" s="107" t="s">
        <v>69</v>
      </c>
      <c r="B155" s="108" t="s">
        <v>70</v>
      </c>
      <c r="C155" s="150">
        <v>4.07E-2</v>
      </c>
      <c r="D155" s="150">
        <v>8.8300000000000003E-2</v>
      </c>
    </row>
    <row r="156" spans="1:4">
      <c r="A156" s="107" t="s">
        <v>71</v>
      </c>
      <c r="B156" s="108" t="s">
        <v>72</v>
      </c>
      <c r="C156" s="150">
        <v>4.07E-2</v>
      </c>
      <c r="D156" s="150">
        <v>5.0799999999999998E-2</v>
      </c>
    </row>
    <row r="157" spans="1:4">
      <c r="A157" s="107" t="s">
        <v>73</v>
      </c>
      <c r="B157" s="108" t="s">
        <v>74</v>
      </c>
      <c r="C157" s="150">
        <v>1.7299999999999999E-2</v>
      </c>
      <c r="D157" s="150">
        <v>1.84E-2</v>
      </c>
    </row>
    <row r="158" spans="1:4">
      <c r="A158" s="107" t="s">
        <v>75</v>
      </c>
      <c r="B158" s="108" t="s">
        <v>204</v>
      </c>
      <c r="C158" s="150">
        <v>2.0299999999999999E-2</v>
      </c>
      <c r="D158" s="150">
        <v>3.3399999999999999E-2</v>
      </c>
    </row>
    <row r="159" spans="1:4">
      <c r="A159" s="107" t="s">
        <v>205</v>
      </c>
      <c r="B159" s="108" t="s">
        <v>206</v>
      </c>
      <c r="C159" s="150">
        <v>5.0599999999999999E-2</v>
      </c>
      <c r="D159" s="150">
        <v>4.1500000000000002E-2</v>
      </c>
    </row>
    <row r="160" spans="1:4">
      <c r="A160" s="107" t="s">
        <v>207</v>
      </c>
      <c r="B160" s="108" t="s">
        <v>208</v>
      </c>
      <c r="C160" s="150">
        <v>2.2800000000000001E-2</v>
      </c>
      <c r="D160" s="150">
        <v>3.7699999999999997E-2</v>
      </c>
    </row>
    <row r="161" spans="1:4">
      <c r="A161" s="107" t="s">
        <v>209</v>
      </c>
      <c r="B161" s="108" t="s">
        <v>210</v>
      </c>
      <c r="C161" s="150">
        <v>6.0900000000000003E-2</v>
      </c>
      <c r="D161" s="150">
        <v>6.8000000000000005E-2</v>
      </c>
    </row>
    <row r="162" spans="1:4">
      <c r="A162" s="107" t="s">
        <v>211</v>
      </c>
      <c r="B162" s="108" t="s">
        <v>212</v>
      </c>
      <c r="C162" s="150">
        <v>4.6699999999999998E-2</v>
      </c>
      <c r="D162" s="150">
        <v>4.2799999999999998E-2</v>
      </c>
    </row>
    <row r="163" spans="1:4">
      <c r="A163" s="107" t="s">
        <v>87</v>
      </c>
      <c r="B163" s="108" t="s">
        <v>88</v>
      </c>
      <c r="C163" s="150">
        <v>3.7100000000000001E-2</v>
      </c>
      <c r="D163" s="150">
        <v>3.0499999999999999E-2</v>
      </c>
    </row>
    <row r="164" spans="1:4">
      <c r="A164" s="112" t="s">
        <v>89</v>
      </c>
      <c r="B164" s="104" t="s">
        <v>580</v>
      </c>
      <c r="C164" s="150">
        <v>5.5800000000000002E-2</v>
      </c>
      <c r="D164" s="150">
        <v>4.3799999999999999E-2</v>
      </c>
    </row>
    <row r="165" spans="1:4">
      <c r="A165" s="107" t="s">
        <v>948</v>
      </c>
      <c r="B165" s="108" t="s">
        <v>949</v>
      </c>
      <c r="C165" s="150">
        <v>0.08</v>
      </c>
      <c r="D165" s="150">
        <v>0.08</v>
      </c>
    </row>
    <row r="166" spans="1:4">
      <c r="A166" s="107" t="s">
        <v>90</v>
      </c>
      <c r="B166" s="108" t="s">
        <v>91</v>
      </c>
      <c r="C166" s="150">
        <v>2.6599999999999999E-2</v>
      </c>
      <c r="D166" s="150">
        <v>3.15E-2</v>
      </c>
    </row>
    <row r="167" spans="1:4">
      <c r="A167" s="107" t="s">
        <v>92</v>
      </c>
      <c r="B167" s="108" t="s">
        <v>93</v>
      </c>
      <c r="C167" s="150">
        <v>4.99E-2</v>
      </c>
      <c r="D167" s="150">
        <v>5.5E-2</v>
      </c>
    </row>
    <row r="168" spans="1:4">
      <c r="A168" s="107" t="s">
        <v>94</v>
      </c>
      <c r="B168" s="108" t="s">
        <v>95</v>
      </c>
      <c r="C168" s="150">
        <v>4.2599999999999999E-2</v>
      </c>
      <c r="D168" s="150">
        <v>5.5E-2</v>
      </c>
    </row>
    <row r="169" spans="1:4">
      <c r="A169" s="107" t="s">
        <v>96</v>
      </c>
      <c r="B169" s="108" t="s">
        <v>577</v>
      </c>
      <c r="C169" s="150">
        <v>1.9900000000000001E-2</v>
      </c>
      <c r="D169" s="150">
        <v>7.4000000000000003E-3</v>
      </c>
    </row>
    <row r="170" spans="1:4">
      <c r="A170" s="107" t="s">
        <v>97</v>
      </c>
      <c r="B170" s="108" t="s">
        <v>98</v>
      </c>
      <c r="C170" s="150">
        <v>8.6800000000000002E-2</v>
      </c>
      <c r="D170" s="150">
        <v>0.1118</v>
      </c>
    </row>
    <row r="171" spans="1:4">
      <c r="A171" s="107" t="s">
        <v>99</v>
      </c>
      <c r="B171" s="108" t="s">
        <v>100</v>
      </c>
      <c r="C171" s="150">
        <v>1.83E-2</v>
      </c>
      <c r="D171" s="150">
        <v>1.5800000000000002E-2</v>
      </c>
    </row>
    <row r="172" spans="1:4">
      <c r="A172" s="107" t="s">
        <v>101</v>
      </c>
      <c r="B172" s="108" t="s">
        <v>102</v>
      </c>
      <c r="C172" s="150">
        <v>2.4400000000000002E-2</v>
      </c>
      <c r="D172" s="150">
        <v>3.1600000000000003E-2</v>
      </c>
    </row>
    <row r="173" spans="1:4">
      <c r="A173" s="107" t="s">
        <v>103</v>
      </c>
      <c r="B173" s="108" t="s">
        <v>213</v>
      </c>
      <c r="C173" s="150">
        <v>3.4299999999999997E-2</v>
      </c>
      <c r="D173" s="150">
        <v>3.1800000000000002E-2</v>
      </c>
    </row>
    <row r="174" spans="1:4">
      <c r="A174" s="107" t="s">
        <v>214</v>
      </c>
      <c r="B174" s="108" t="s">
        <v>215</v>
      </c>
      <c r="C174" s="150">
        <v>4.5499999999999999E-2</v>
      </c>
      <c r="D174" s="150">
        <v>3.6799999999999999E-2</v>
      </c>
    </row>
    <row r="175" spans="1:4">
      <c r="A175" s="107" t="s">
        <v>216</v>
      </c>
      <c r="B175" s="108" t="s">
        <v>217</v>
      </c>
      <c r="C175" s="150">
        <v>1.46E-2</v>
      </c>
      <c r="D175" s="150">
        <v>2.4799999999999999E-2</v>
      </c>
    </row>
    <row r="176" spans="1:4">
      <c r="A176" s="107" t="s">
        <v>48</v>
      </c>
      <c r="B176" s="108" t="s">
        <v>49</v>
      </c>
      <c r="C176" s="150">
        <v>4.9299999999999997E-2</v>
      </c>
      <c r="D176" s="150">
        <v>8.5900000000000004E-2</v>
      </c>
    </row>
    <row r="177" spans="1:4">
      <c r="A177" s="107" t="s">
        <v>50</v>
      </c>
      <c r="B177" s="108" t="s">
        <v>315</v>
      </c>
      <c r="C177" s="150">
        <v>3.3399999999999999E-2</v>
      </c>
      <c r="D177" s="150">
        <v>2.6100000000000002E-2</v>
      </c>
    </row>
    <row r="178" spans="1:4">
      <c r="A178" s="107" t="s">
        <v>316</v>
      </c>
      <c r="B178" s="108" t="s">
        <v>317</v>
      </c>
      <c r="C178" s="150">
        <v>0.11899999999999999</v>
      </c>
      <c r="D178" s="150">
        <v>0.1308</v>
      </c>
    </row>
    <row r="179" spans="1:4">
      <c r="A179" s="107" t="s">
        <v>318</v>
      </c>
      <c r="B179" s="108" t="s">
        <v>319</v>
      </c>
      <c r="C179" s="150">
        <v>5.6800000000000003E-2</v>
      </c>
      <c r="D179" s="150">
        <v>4.5699999999999998E-2</v>
      </c>
    </row>
    <row r="180" spans="1:4">
      <c r="A180" s="107" t="s">
        <v>320</v>
      </c>
      <c r="B180" s="108" t="s">
        <v>321</v>
      </c>
      <c r="C180" s="150">
        <v>4.9700000000000001E-2</v>
      </c>
      <c r="D180" s="150">
        <v>2.2100000000000002E-2</v>
      </c>
    </row>
    <row r="181" spans="1:4">
      <c r="A181" s="107" t="s">
        <v>322</v>
      </c>
      <c r="B181" s="108" t="s">
        <v>323</v>
      </c>
      <c r="C181" s="150">
        <v>2.9700000000000001E-2</v>
      </c>
      <c r="D181" s="150">
        <v>3.5499999999999997E-2</v>
      </c>
    </row>
    <row r="182" spans="1:4">
      <c r="A182" s="107" t="s">
        <v>324</v>
      </c>
      <c r="B182" s="108" t="s">
        <v>325</v>
      </c>
      <c r="C182" s="150">
        <v>3.7999999999999999E-2</v>
      </c>
      <c r="D182" s="150">
        <v>3.95E-2</v>
      </c>
    </row>
    <row r="183" spans="1:4">
      <c r="A183" s="107" t="s">
        <v>326</v>
      </c>
      <c r="B183" s="108" t="s">
        <v>327</v>
      </c>
      <c r="C183" s="150">
        <v>6.88E-2</v>
      </c>
      <c r="D183" s="150">
        <v>3.8100000000000002E-2</v>
      </c>
    </row>
    <row r="184" spans="1:4">
      <c r="A184" s="107" t="s">
        <v>328</v>
      </c>
      <c r="B184" s="108" t="s">
        <v>329</v>
      </c>
      <c r="C184" s="150">
        <v>3.4000000000000002E-2</v>
      </c>
      <c r="D184" s="150">
        <v>0.23069999999999999</v>
      </c>
    </row>
    <row r="185" spans="1:4">
      <c r="A185" s="107" t="s">
        <v>330</v>
      </c>
      <c r="B185" s="108" t="s">
        <v>331</v>
      </c>
      <c r="C185" s="150">
        <v>6.5000000000000002E-2</v>
      </c>
      <c r="D185" s="150">
        <v>7.1199999999999999E-2</v>
      </c>
    </row>
    <row r="186" spans="1:4">
      <c r="A186" s="107" t="s">
        <v>104</v>
      </c>
      <c r="B186" s="108" t="s">
        <v>105</v>
      </c>
      <c r="C186" s="150">
        <v>2.3199999999999998E-2</v>
      </c>
      <c r="D186" s="150">
        <v>2.5899999999999999E-2</v>
      </c>
    </row>
    <row r="187" spans="1:4">
      <c r="A187" s="107" t="s">
        <v>106</v>
      </c>
      <c r="B187" s="108" t="s">
        <v>107</v>
      </c>
      <c r="C187" s="150">
        <v>2.8500000000000001E-2</v>
      </c>
      <c r="D187" s="150">
        <v>2.6100000000000002E-2</v>
      </c>
    </row>
    <row r="188" spans="1:4">
      <c r="A188" s="107" t="s">
        <v>108</v>
      </c>
      <c r="B188" s="108" t="s">
        <v>109</v>
      </c>
      <c r="C188" s="150">
        <v>4.7100000000000003E-2</v>
      </c>
      <c r="D188" s="150">
        <v>2.9899999999999999E-2</v>
      </c>
    </row>
    <row r="189" spans="1:4">
      <c r="A189" s="107" t="s">
        <v>110</v>
      </c>
      <c r="B189" s="108" t="s">
        <v>111</v>
      </c>
      <c r="C189" s="150">
        <v>2.1000000000000001E-2</v>
      </c>
      <c r="D189" s="150">
        <v>2.8799999999999999E-2</v>
      </c>
    </row>
    <row r="190" spans="1:4">
      <c r="A190" s="107" t="s">
        <v>112</v>
      </c>
      <c r="B190" s="108" t="s">
        <v>113</v>
      </c>
      <c r="C190" s="150">
        <v>2.0400000000000001E-2</v>
      </c>
      <c r="D190" s="150">
        <v>2.5499999999999998E-2</v>
      </c>
    </row>
    <row r="191" spans="1:4">
      <c r="A191" s="107" t="s">
        <v>114</v>
      </c>
      <c r="B191" s="108" t="s">
        <v>115</v>
      </c>
      <c r="C191" s="150">
        <v>3.49E-2</v>
      </c>
      <c r="D191" s="150">
        <v>3.2800000000000003E-2</v>
      </c>
    </row>
    <row r="192" spans="1:4">
      <c r="A192" s="107" t="s">
        <v>116</v>
      </c>
      <c r="B192" s="108" t="s">
        <v>117</v>
      </c>
      <c r="C192" s="150">
        <v>0.1285</v>
      </c>
      <c r="D192" s="150">
        <v>5.9799999999999999E-2</v>
      </c>
    </row>
    <row r="193" spans="1:4">
      <c r="A193" s="107" t="s">
        <v>118</v>
      </c>
      <c r="B193" s="108" t="s">
        <v>890</v>
      </c>
      <c r="C193" s="150">
        <v>5.1999999999999998E-2</v>
      </c>
      <c r="D193" s="150">
        <v>6.9800000000000001E-2</v>
      </c>
    </row>
    <row r="194" spans="1:4">
      <c r="A194" s="107" t="s">
        <v>119</v>
      </c>
      <c r="B194" s="108" t="s">
        <v>120</v>
      </c>
      <c r="C194" s="150">
        <v>2.18E-2</v>
      </c>
      <c r="D194" s="150">
        <v>5.4199999999999998E-2</v>
      </c>
    </row>
    <row r="195" spans="1:4">
      <c r="A195" s="107" t="s">
        <v>159</v>
      </c>
      <c r="B195" s="108" t="s">
        <v>160</v>
      </c>
      <c r="C195" s="150">
        <v>4.8099999999999997E-2</v>
      </c>
      <c r="D195" s="150">
        <v>6.4699999999999994E-2</v>
      </c>
    </row>
    <row r="196" spans="1:4">
      <c r="A196" s="107" t="s">
        <v>161</v>
      </c>
      <c r="B196" s="108" t="s">
        <v>162</v>
      </c>
      <c r="C196" s="150">
        <v>3.6499999999999998E-2</v>
      </c>
      <c r="D196" s="150">
        <v>5.8099999999999999E-2</v>
      </c>
    </row>
    <row r="197" spans="1:4">
      <c r="A197" s="107" t="s">
        <v>163</v>
      </c>
      <c r="B197" s="108" t="s">
        <v>164</v>
      </c>
      <c r="C197" s="150">
        <v>2.6599999999999999E-2</v>
      </c>
      <c r="D197" s="150">
        <v>4.1200000000000001E-2</v>
      </c>
    </row>
    <row r="198" spans="1:4">
      <c r="A198" s="107" t="s">
        <v>165</v>
      </c>
      <c r="B198" s="108" t="s">
        <v>166</v>
      </c>
      <c r="C198" s="150">
        <v>3.2800000000000003E-2</v>
      </c>
      <c r="D198" s="150">
        <v>3.9699999999999999E-2</v>
      </c>
    </row>
    <row r="199" spans="1:4">
      <c r="A199" s="107" t="s">
        <v>167</v>
      </c>
      <c r="B199" s="108" t="s">
        <v>168</v>
      </c>
      <c r="C199" s="150">
        <v>5.28E-2</v>
      </c>
      <c r="D199" s="150">
        <v>5.5300000000000002E-2</v>
      </c>
    </row>
    <row r="200" spans="1:4">
      <c r="A200" s="107" t="s">
        <v>169</v>
      </c>
      <c r="B200" s="108" t="s">
        <v>170</v>
      </c>
      <c r="C200" s="150">
        <v>0.161</v>
      </c>
      <c r="D200" s="150">
        <v>0.22059999999999999</v>
      </c>
    </row>
    <row r="201" spans="1:4">
      <c r="A201" s="107" t="s">
        <v>0</v>
      </c>
      <c r="B201" s="108" t="s">
        <v>1</v>
      </c>
      <c r="C201" s="150">
        <v>8.9300000000000004E-2</v>
      </c>
      <c r="D201" s="150">
        <v>0</v>
      </c>
    </row>
    <row r="202" spans="1:4">
      <c r="A202" s="107" t="s">
        <v>2</v>
      </c>
      <c r="B202" s="108" t="s">
        <v>3</v>
      </c>
      <c r="C202" s="150">
        <v>3.5099999999999999E-2</v>
      </c>
      <c r="D202" s="150">
        <v>2.7199999999999998E-2</v>
      </c>
    </row>
    <row r="203" spans="1:4">
      <c r="A203" s="107" t="s">
        <v>388</v>
      </c>
      <c r="B203" s="108" t="s">
        <v>390</v>
      </c>
      <c r="C203" s="150">
        <v>9.9500000000000005E-2</v>
      </c>
      <c r="D203" s="150">
        <v>3.6299999999999999E-2</v>
      </c>
    </row>
    <row r="204" spans="1:4">
      <c r="A204" s="107" t="s">
        <v>391</v>
      </c>
      <c r="B204" s="108" t="s">
        <v>392</v>
      </c>
      <c r="C204" s="150">
        <v>5.8999999999999997E-2</v>
      </c>
      <c r="D204" s="150">
        <v>5.1999999999999998E-2</v>
      </c>
    </row>
    <row r="205" spans="1:4">
      <c r="A205" s="107" t="s">
        <v>393</v>
      </c>
      <c r="B205" s="108" t="s">
        <v>394</v>
      </c>
      <c r="C205" s="150">
        <v>3.7499999999999999E-2</v>
      </c>
      <c r="D205" s="150">
        <v>1.8800000000000001E-2</v>
      </c>
    </row>
    <row r="206" spans="1:4">
      <c r="A206" s="107" t="s">
        <v>395</v>
      </c>
      <c r="B206" s="108" t="s">
        <v>396</v>
      </c>
      <c r="C206" s="150">
        <v>4.2700000000000002E-2</v>
      </c>
      <c r="D206" s="150">
        <v>5.0599999999999999E-2</v>
      </c>
    </row>
    <row r="207" spans="1:4">
      <c r="A207" s="107" t="s">
        <v>1515</v>
      </c>
      <c r="B207" s="108" t="s">
        <v>1767</v>
      </c>
      <c r="C207" s="150"/>
      <c r="D207" s="150">
        <v>0.08</v>
      </c>
    </row>
    <row r="208" spans="1:4">
      <c r="A208" s="107" t="s">
        <v>397</v>
      </c>
      <c r="B208" s="108" t="s">
        <v>398</v>
      </c>
      <c r="C208" s="150">
        <v>3.2800000000000003E-2</v>
      </c>
      <c r="D208" s="150">
        <v>4.3099999999999999E-2</v>
      </c>
    </row>
    <row r="209" spans="1:4">
      <c r="A209" s="107" t="s">
        <v>399</v>
      </c>
      <c r="B209" s="108" t="s">
        <v>400</v>
      </c>
      <c r="C209" s="150">
        <v>7.2999999999999995E-2</v>
      </c>
      <c r="D209" s="150">
        <v>5.0299999999999997E-2</v>
      </c>
    </row>
    <row r="210" spans="1:4">
      <c r="A210" s="107" t="s">
        <v>401</v>
      </c>
      <c r="B210" s="108" t="s">
        <v>383</v>
      </c>
      <c r="C210" s="150">
        <v>4.3700000000000003E-2</v>
      </c>
      <c r="D210" s="150">
        <v>4.5199999999999997E-2</v>
      </c>
    </row>
    <row r="211" spans="1:4">
      <c r="A211" s="107" t="s">
        <v>384</v>
      </c>
      <c r="B211" s="108" t="s">
        <v>385</v>
      </c>
      <c r="C211" s="150">
        <v>3.7100000000000001E-2</v>
      </c>
      <c r="D211" s="150">
        <v>4.6800000000000001E-2</v>
      </c>
    </row>
    <row r="212" spans="1:4">
      <c r="A212" s="112" t="s">
        <v>386</v>
      </c>
      <c r="B212" s="104" t="s">
        <v>387</v>
      </c>
      <c r="C212" s="150">
        <v>4.4200000000000003E-2</v>
      </c>
      <c r="D212" s="150">
        <v>3.7699999999999997E-2</v>
      </c>
    </row>
    <row r="213" spans="1:4">
      <c r="A213" s="107" t="s">
        <v>936</v>
      </c>
      <c r="B213" s="108" t="s">
        <v>950</v>
      </c>
      <c r="C213" s="150">
        <v>5.0099999999999999E-2</v>
      </c>
      <c r="D213" s="150">
        <v>7.1400000000000005E-2</v>
      </c>
    </row>
    <row r="214" spans="1:4">
      <c r="A214" s="107" t="s">
        <v>348</v>
      </c>
      <c r="B214" s="108" t="s">
        <v>349</v>
      </c>
      <c r="C214" s="150">
        <v>3.6400000000000002E-2</v>
      </c>
      <c r="D214" s="150">
        <v>4.2799999999999998E-2</v>
      </c>
    </row>
    <row r="215" spans="1:4">
      <c r="A215" s="107" t="s">
        <v>350</v>
      </c>
      <c r="B215" s="108" t="s">
        <v>351</v>
      </c>
      <c r="C215" s="150">
        <v>5.2299999999999999E-2</v>
      </c>
      <c r="D215" s="150">
        <v>4.1599999999999998E-2</v>
      </c>
    </row>
    <row r="216" spans="1:4">
      <c r="A216" s="107" t="s">
        <v>1518</v>
      </c>
      <c r="B216" s="108" t="s">
        <v>1768</v>
      </c>
      <c r="C216" s="150"/>
      <c r="D216" s="150">
        <v>0.08</v>
      </c>
    </row>
    <row r="217" spans="1:4">
      <c r="A217" s="107" t="s">
        <v>352</v>
      </c>
      <c r="B217" s="108" t="s">
        <v>353</v>
      </c>
      <c r="C217" s="150">
        <v>3.3599999999999998E-2</v>
      </c>
      <c r="D217" s="150">
        <v>3.6999999999999998E-2</v>
      </c>
    </row>
    <row r="218" spans="1:4">
      <c r="A218" s="107" t="s">
        <v>354</v>
      </c>
      <c r="B218" s="108" t="s">
        <v>891</v>
      </c>
      <c r="C218" s="150">
        <v>0.2014</v>
      </c>
      <c r="D218" s="150">
        <v>0.23930000000000001</v>
      </c>
    </row>
    <row r="219" spans="1:4">
      <c r="A219" s="107" t="s">
        <v>67</v>
      </c>
      <c r="B219" s="108" t="s">
        <v>242</v>
      </c>
      <c r="C219" s="150">
        <v>4.6399999999999997E-2</v>
      </c>
      <c r="D219" s="150">
        <v>2.2499999999999999E-2</v>
      </c>
    </row>
    <row r="220" spans="1:4">
      <c r="A220" s="110" t="s">
        <v>243</v>
      </c>
      <c r="B220" s="108" t="s">
        <v>244</v>
      </c>
      <c r="C220" s="150">
        <v>1.4E-2</v>
      </c>
      <c r="D220" s="150">
        <v>1.3599999999999999E-2</v>
      </c>
    </row>
    <row r="221" spans="1:4">
      <c r="A221" s="107" t="s">
        <v>940</v>
      </c>
      <c r="B221" s="108" t="s">
        <v>951</v>
      </c>
      <c r="C221" s="150">
        <v>0.08</v>
      </c>
      <c r="D221" s="150">
        <v>0.08</v>
      </c>
    </row>
    <row r="222" spans="1:4">
      <c r="A222" s="107" t="s">
        <v>245</v>
      </c>
      <c r="B222" s="108" t="s">
        <v>361</v>
      </c>
      <c r="C222" s="150">
        <v>3.2099999999999997E-2</v>
      </c>
      <c r="D222" s="150">
        <v>4.5999999999999999E-2</v>
      </c>
    </row>
    <row r="223" spans="1:4">
      <c r="A223" s="107" t="s">
        <v>362</v>
      </c>
      <c r="B223" s="108" t="s">
        <v>363</v>
      </c>
      <c r="C223" s="150">
        <v>5.8799999999999998E-2</v>
      </c>
      <c r="D223" s="150">
        <v>3.7699999999999997E-2</v>
      </c>
    </row>
    <row r="224" spans="1:4">
      <c r="A224" s="112" t="s">
        <v>364</v>
      </c>
      <c r="B224" s="104" t="s">
        <v>365</v>
      </c>
      <c r="C224" s="150">
        <v>3.7400000000000003E-2</v>
      </c>
      <c r="D224" s="150">
        <v>4.5199999999999997E-2</v>
      </c>
    </row>
    <row r="225" spans="1:4">
      <c r="A225" s="107" t="s">
        <v>935</v>
      </c>
      <c r="B225" s="108" t="s">
        <v>952</v>
      </c>
      <c r="C225" s="150">
        <v>0.12790000000000001</v>
      </c>
      <c r="D225" s="150">
        <v>0</v>
      </c>
    </row>
    <row r="226" spans="1:4">
      <c r="A226" s="107" t="s">
        <v>366</v>
      </c>
      <c r="B226" s="108" t="s">
        <v>367</v>
      </c>
      <c r="C226" s="150">
        <v>1.7000000000000001E-2</v>
      </c>
      <c r="D226" s="150">
        <v>2.3800000000000002E-2</v>
      </c>
    </row>
    <row r="227" spans="1:4">
      <c r="A227" s="107" t="s">
        <v>368</v>
      </c>
      <c r="B227" s="108" t="s">
        <v>369</v>
      </c>
      <c r="C227" s="150">
        <v>6.4699999999999994E-2</v>
      </c>
      <c r="D227" s="150">
        <v>3.1399999999999997E-2</v>
      </c>
    </row>
    <row r="228" spans="1:4">
      <c r="A228" s="107" t="s">
        <v>370</v>
      </c>
      <c r="B228" s="108" t="s">
        <v>371</v>
      </c>
      <c r="C228" s="150">
        <v>0.03</v>
      </c>
      <c r="D228" s="150">
        <v>3.1E-2</v>
      </c>
    </row>
    <row r="229" spans="1:4">
      <c r="A229" s="107" t="s">
        <v>372</v>
      </c>
      <c r="B229" s="108" t="s">
        <v>373</v>
      </c>
      <c r="C229" s="150">
        <v>1.0999999999999999E-2</v>
      </c>
      <c r="D229" s="150">
        <v>7.9399999999999998E-2</v>
      </c>
    </row>
    <row r="230" spans="1:4">
      <c r="A230" s="107" t="s">
        <v>374</v>
      </c>
      <c r="B230" s="108" t="s">
        <v>375</v>
      </c>
      <c r="C230" s="150">
        <v>3.0800000000000001E-2</v>
      </c>
      <c r="D230" s="150">
        <v>3.5000000000000003E-2</v>
      </c>
    </row>
    <row r="231" spans="1:4">
      <c r="A231" s="107" t="s">
        <v>376</v>
      </c>
      <c r="B231" s="108" t="s">
        <v>377</v>
      </c>
      <c r="C231" s="150">
        <v>4.8500000000000001E-2</v>
      </c>
      <c r="D231" s="150">
        <v>4.4499999999999998E-2</v>
      </c>
    </row>
    <row r="232" spans="1:4">
      <c r="A232" s="107" t="s">
        <v>378</v>
      </c>
      <c r="B232" s="108" t="s">
        <v>379</v>
      </c>
      <c r="C232" s="150">
        <v>5.0500000000000003E-2</v>
      </c>
      <c r="D232" s="150">
        <v>3.78E-2</v>
      </c>
    </row>
    <row r="233" spans="1:4">
      <c r="A233" s="107" t="s">
        <v>380</v>
      </c>
      <c r="B233" s="108" t="s">
        <v>381</v>
      </c>
      <c r="C233" s="150">
        <v>3.56E-2</v>
      </c>
      <c r="D233" s="150">
        <v>3.8699999999999998E-2</v>
      </c>
    </row>
    <row r="234" spans="1:4">
      <c r="A234" s="107" t="s">
        <v>382</v>
      </c>
      <c r="B234" s="108" t="s">
        <v>269</v>
      </c>
      <c r="C234" s="150">
        <v>3.3099999999999997E-2</v>
      </c>
      <c r="D234" s="150">
        <v>3.5499999999999997E-2</v>
      </c>
    </row>
    <row r="235" spans="1:4">
      <c r="A235" s="107" t="s">
        <v>270</v>
      </c>
      <c r="B235" s="108" t="s">
        <v>271</v>
      </c>
      <c r="C235" s="150">
        <v>1.6500000000000001E-2</v>
      </c>
      <c r="D235" s="150">
        <v>2.1299999999999999E-2</v>
      </c>
    </row>
    <row r="236" spans="1:4">
      <c r="A236" s="107" t="s">
        <v>272</v>
      </c>
      <c r="B236" s="108" t="s">
        <v>273</v>
      </c>
      <c r="C236" s="150">
        <v>5.6099999999999997E-2</v>
      </c>
      <c r="D236" s="150">
        <v>3.3500000000000002E-2</v>
      </c>
    </row>
    <row r="237" spans="1:4">
      <c r="A237" s="107" t="s">
        <v>274</v>
      </c>
      <c r="B237" s="108" t="s">
        <v>275</v>
      </c>
      <c r="C237" s="150">
        <v>4.4600000000000001E-2</v>
      </c>
      <c r="D237" s="150">
        <v>4.36E-2</v>
      </c>
    </row>
    <row r="238" spans="1:4">
      <c r="A238" s="107" t="s">
        <v>276</v>
      </c>
      <c r="B238" s="108" t="s">
        <v>545</v>
      </c>
      <c r="C238" s="150">
        <v>4.7899999999999998E-2</v>
      </c>
      <c r="D238" s="150">
        <v>3.0599999999999999E-2</v>
      </c>
    </row>
    <row r="239" spans="1:4">
      <c r="A239" s="107" t="s">
        <v>546</v>
      </c>
      <c r="B239" s="108" t="s">
        <v>579</v>
      </c>
      <c r="C239" s="150">
        <v>5.3100000000000001E-2</v>
      </c>
      <c r="D239" s="150">
        <v>3.9899999999999998E-2</v>
      </c>
    </row>
    <row r="240" spans="1:4">
      <c r="A240" s="107" t="s">
        <v>547</v>
      </c>
      <c r="B240" s="108" t="s">
        <v>548</v>
      </c>
      <c r="C240" s="150">
        <v>0.1298</v>
      </c>
      <c r="D240" s="150">
        <v>0.1457</v>
      </c>
    </row>
    <row r="241" spans="1:4">
      <c r="A241" s="107" t="s">
        <v>549</v>
      </c>
      <c r="B241" s="108" t="s">
        <v>550</v>
      </c>
      <c r="C241" s="150">
        <v>5.2699999999999997E-2</v>
      </c>
      <c r="D241" s="150">
        <v>4.6600000000000003E-2</v>
      </c>
    </row>
    <row r="242" spans="1:4">
      <c r="A242" s="107" t="s">
        <v>551</v>
      </c>
      <c r="B242" s="108" t="s">
        <v>552</v>
      </c>
      <c r="C242" s="150">
        <v>2.6599999999999999E-2</v>
      </c>
      <c r="D242" s="150">
        <v>4.0099999999999997E-2</v>
      </c>
    </row>
    <row r="243" spans="1:4">
      <c r="A243" s="107" t="s">
        <v>553</v>
      </c>
      <c r="B243" s="108" t="s">
        <v>554</v>
      </c>
      <c r="C243" s="150">
        <v>3.8600000000000002E-2</v>
      </c>
      <c r="D243" s="150">
        <v>4.2799999999999998E-2</v>
      </c>
    </row>
    <row r="244" spans="1:4">
      <c r="A244" s="107" t="s">
        <v>555</v>
      </c>
      <c r="B244" s="108" t="s">
        <v>556</v>
      </c>
      <c r="C244" s="150">
        <v>4.5100000000000001E-2</v>
      </c>
      <c r="D244" s="150">
        <v>4.0899999999999999E-2</v>
      </c>
    </row>
    <row r="245" spans="1:4">
      <c r="A245" s="107" t="s">
        <v>557</v>
      </c>
      <c r="B245" s="108" t="s">
        <v>558</v>
      </c>
      <c r="C245" s="150">
        <v>5.79E-2</v>
      </c>
      <c r="D245" s="150">
        <v>5.2299999999999999E-2</v>
      </c>
    </row>
    <row r="246" spans="1:4">
      <c r="A246" s="107" t="s">
        <v>559</v>
      </c>
      <c r="B246" s="108" t="s">
        <v>560</v>
      </c>
      <c r="C246" s="150">
        <v>0.57479999999999998</v>
      </c>
      <c r="D246" s="150">
        <v>0.36670000000000003</v>
      </c>
    </row>
    <row r="247" spans="1:4">
      <c r="A247" s="107" t="s">
        <v>561</v>
      </c>
      <c r="B247" s="108" t="s">
        <v>562</v>
      </c>
      <c r="C247" s="150">
        <v>5.0700000000000002E-2</v>
      </c>
      <c r="D247" s="150">
        <v>1.9E-2</v>
      </c>
    </row>
    <row r="248" spans="1:4">
      <c r="A248" s="107" t="s">
        <v>563</v>
      </c>
      <c r="B248" s="108" t="s">
        <v>564</v>
      </c>
      <c r="C248" s="150">
        <v>2.5499999999999998E-2</v>
      </c>
      <c r="D248" s="150">
        <v>3.3399999999999999E-2</v>
      </c>
    </row>
    <row r="249" spans="1:4">
      <c r="A249" s="107" t="s">
        <v>565</v>
      </c>
      <c r="B249" s="108" t="s">
        <v>76</v>
      </c>
      <c r="C249" s="150">
        <v>0.12970000000000001</v>
      </c>
      <c r="D249" s="150">
        <v>9.6000000000000002E-2</v>
      </c>
    </row>
    <row r="250" spans="1:4">
      <c r="A250" s="107" t="s">
        <v>77</v>
      </c>
      <c r="B250" s="108" t="s">
        <v>78</v>
      </c>
      <c r="C250" s="150">
        <v>6.3799999999999996E-2</v>
      </c>
      <c r="D250" s="150">
        <v>3.1800000000000002E-2</v>
      </c>
    </row>
    <row r="251" spans="1:4">
      <c r="A251" s="107" t="s">
        <v>79</v>
      </c>
      <c r="B251" s="108" t="s">
        <v>80</v>
      </c>
      <c r="C251" s="150">
        <v>4.1300000000000003E-2</v>
      </c>
      <c r="D251" s="150">
        <v>5.5100000000000003E-2</v>
      </c>
    </row>
    <row r="252" spans="1:4">
      <c r="A252" s="107" t="s">
        <v>81</v>
      </c>
      <c r="B252" s="108" t="s">
        <v>82</v>
      </c>
      <c r="C252" s="150">
        <v>3.2199999999999999E-2</v>
      </c>
      <c r="D252" s="150">
        <v>3.32E-2</v>
      </c>
    </row>
    <row r="253" spans="1:4">
      <c r="A253" s="114" t="s">
        <v>83</v>
      </c>
      <c r="B253" s="104" t="s">
        <v>84</v>
      </c>
      <c r="C253" s="150">
        <v>6.6600000000000006E-2</v>
      </c>
      <c r="D253" s="150">
        <v>7.0199999999999999E-2</v>
      </c>
    </row>
    <row r="254" spans="1:4">
      <c r="A254" s="107" t="s">
        <v>85</v>
      </c>
      <c r="B254" s="108" t="s">
        <v>86</v>
      </c>
      <c r="C254" s="150">
        <v>0.04</v>
      </c>
      <c r="D254" s="150">
        <v>6.3799999999999996E-2</v>
      </c>
    </row>
    <row r="255" spans="1:4">
      <c r="A255" s="107" t="s">
        <v>567</v>
      </c>
      <c r="B255" s="108" t="s">
        <v>568</v>
      </c>
      <c r="C255" s="150">
        <v>4.6600000000000003E-2</v>
      </c>
      <c r="D255" s="150">
        <v>4.7100000000000003E-2</v>
      </c>
    </row>
    <row r="256" spans="1:4">
      <c r="A256" s="107" t="s">
        <v>569</v>
      </c>
      <c r="B256" s="108" t="s">
        <v>570</v>
      </c>
      <c r="C256" s="150">
        <v>4.2099999999999999E-2</v>
      </c>
      <c r="D256" s="150">
        <v>5.74E-2</v>
      </c>
    </row>
    <row r="257" spans="1:4">
      <c r="A257" s="107" t="s">
        <v>571</v>
      </c>
      <c r="B257" s="108" t="s">
        <v>572</v>
      </c>
      <c r="C257" s="150">
        <v>3.95E-2</v>
      </c>
      <c r="D257" s="150">
        <v>4.6800000000000001E-2</v>
      </c>
    </row>
    <row r="258" spans="1:4">
      <c r="A258" s="107" t="s">
        <v>573</v>
      </c>
      <c r="B258" s="108" t="s">
        <v>540</v>
      </c>
      <c r="C258" s="150">
        <v>2.4400000000000002E-2</v>
      </c>
      <c r="D258" s="150">
        <v>4.65E-2</v>
      </c>
    </row>
    <row r="259" spans="1:4">
      <c r="A259" s="112" t="s">
        <v>937</v>
      </c>
      <c r="B259" s="104" t="s">
        <v>953</v>
      </c>
      <c r="C259" s="150">
        <v>5.8599999999999999E-2</v>
      </c>
      <c r="D259" s="150">
        <v>2.9100000000000001E-2</v>
      </c>
    </row>
    <row r="260" spans="1:4">
      <c r="A260" s="107" t="s">
        <v>541</v>
      </c>
      <c r="B260" s="108" t="s">
        <v>542</v>
      </c>
      <c r="C260" s="150">
        <v>4.7899999999999998E-2</v>
      </c>
      <c r="D260" s="150">
        <v>3.7199999999999997E-2</v>
      </c>
    </row>
    <row r="261" spans="1:4">
      <c r="A261" s="107" t="s">
        <v>543</v>
      </c>
      <c r="B261" s="108" t="s">
        <v>544</v>
      </c>
      <c r="C261" s="150">
        <v>3.5200000000000002E-2</v>
      </c>
      <c r="D261" s="150">
        <v>4.5199999999999997E-2</v>
      </c>
    </row>
    <row r="262" spans="1:4">
      <c r="A262" s="107" t="s">
        <v>57</v>
      </c>
      <c r="B262" s="108" t="s">
        <v>58</v>
      </c>
      <c r="C262" s="150">
        <v>3.2599999999999997E-2</v>
      </c>
      <c r="D262" s="150">
        <v>0.04</v>
      </c>
    </row>
    <row r="263" spans="1:4">
      <c r="A263" s="107" t="s">
        <v>59</v>
      </c>
      <c r="B263" s="108" t="s">
        <v>60</v>
      </c>
      <c r="C263" s="150">
        <v>8.4099999999999994E-2</v>
      </c>
      <c r="D263" s="150">
        <v>0</v>
      </c>
    </row>
    <row r="264" spans="1:4">
      <c r="A264" s="107" t="s">
        <v>61</v>
      </c>
      <c r="B264" s="108" t="s">
        <v>62</v>
      </c>
      <c r="C264" s="150">
        <v>0.1696</v>
      </c>
      <c r="D264" s="150">
        <v>0.12809999999999999</v>
      </c>
    </row>
    <row r="265" spans="1:4">
      <c r="A265" s="107" t="s">
        <v>63</v>
      </c>
      <c r="B265" s="108" t="s">
        <v>64</v>
      </c>
      <c r="C265" s="150">
        <v>0.29799999999999999</v>
      </c>
      <c r="D265" s="150">
        <v>0.27710000000000001</v>
      </c>
    </row>
    <row r="266" spans="1:4">
      <c r="A266" s="107" t="s">
        <v>65</v>
      </c>
      <c r="B266" s="108" t="s">
        <v>578</v>
      </c>
      <c r="C266" s="150">
        <v>1.9900000000000001E-2</v>
      </c>
      <c r="D266" s="150">
        <v>1.3100000000000001E-2</v>
      </c>
    </row>
    <row r="267" spans="1:4">
      <c r="A267" s="107" t="s">
        <v>66</v>
      </c>
      <c r="B267" s="108" t="s">
        <v>4</v>
      </c>
      <c r="C267" s="150">
        <v>0.11219999999999999</v>
      </c>
      <c r="D267" s="150">
        <v>0.1081</v>
      </c>
    </row>
    <row r="268" spans="1:4">
      <c r="A268" s="107" t="s">
        <v>5</v>
      </c>
      <c r="B268" s="108" t="s">
        <v>6</v>
      </c>
      <c r="C268" s="150">
        <v>2.9399999999999999E-2</v>
      </c>
      <c r="D268" s="150">
        <v>6.0400000000000002E-2</v>
      </c>
    </row>
    <row r="269" spans="1:4">
      <c r="A269" s="107" t="s">
        <v>7</v>
      </c>
      <c r="B269" s="108" t="s">
        <v>8</v>
      </c>
      <c r="C269" s="150">
        <v>2.5000000000000001E-2</v>
      </c>
      <c r="D269" s="150">
        <v>4.9399999999999999E-2</v>
      </c>
    </row>
    <row r="270" spans="1:4">
      <c r="A270" s="114" t="s">
        <v>954</v>
      </c>
      <c r="B270" s="104" t="s">
        <v>1350</v>
      </c>
      <c r="C270" s="150">
        <v>0.1736</v>
      </c>
      <c r="D270" s="150">
        <v>0.08</v>
      </c>
    </row>
    <row r="271" spans="1:4">
      <c r="A271" s="112" t="s">
        <v>934</v>
      </c>
      <c r="B271" s="104" t="s">
        <v>955</v>
      </c>
      <c r="C271" s="150">
        <v>0.15290000000000001</v>
      </c>
      <c r="D271" s="150">
        <v>0.1346</v>
      </c>
    </row>
    <row r="272" spans="1:4">
      <c r="A272" s="112" t="s">
        <v>933</v>
      </c>
      <c r="B272" s="104" t="s">
        <v>956</v>
      </c>
      <c r="C272" s="150">
        <v>0.15379999999999999</v>
      </c>
      <c r="D272" s="150">
        <v>0.1638</v>
      </c>
    </row>
    <row r="273" spans="1:4">
      <c r="A273" s="107" t="s">
        <v>9</v>
      </c>
      <c r="B273" s="108" t="s">
        <v>10</v>
      </c>
      <c r="C273" s="150">
        <v>7.9299999999999995E-2</v>
      </c>
      <c r="D273" s="150">
        <v>4.9700000000000001E-2</v>
      </c>
    </row>
    <row r="274" spans="1:4">
      <c r="A274" s="107" t="s">
        <v>246</v>
      </c>
      <c r="B274" s="108" t="s">
        <v>247</v>
      </c>
      <c r="C274" s="150">
        <v>3.3500000000000002E-2</v>
      </c>
      <c r="D274" s="150">
        <v>3.7699999999999997E-2</v>
      </c>
    </row>
    <row r="275" spans="1:4">
      <c r="A275" s="107" t="s">
        <v>248</v>
      </c>
      <c r="B275" s="108" t="s">
        <v>249</v>
      </c>
      <c r="C275" s="150">
        <v>4.2000000000000003E-2</v>
      </c>
      <c r="D275" s="150">
        <v>3.39E-2</v>
      </c>
    </row>
    <row r="276" spans="1:4">
      <c r="A276" s="112" t="s">
        <v>881</v>
      </c>
      <c r="B276" s="104" t="s">
        <v>898</v>
      </c>
      <c r="C276" s="150">
        <v>0.08</v>
      </c>
      <c r="D276" s="150">
        <v>0.08</v>
      </c>
    </row>
    <row r="277" spans="1:4">
      <c r="A277" s="107" t="s">
        <v>250</v>
      </c>
      <c r="B277" s="108" t="s">
        <v>251</v>
      </c>
      <c r="C277" s="150">
        <v>3.85E-2</v>
      </c>
      <c r="D277" s="150">
        <v>4.8099999999999997E-2</v>
      </c>
    </row>
    <row r="278" spans="1:4">
      <c r="A278" s="107" t="s">
        <v>252</v>
      </c>
      <c r="B278" s="108" t="s">
        <v>253</v>
      </c>
      <c r="C278" s="150">
        <v>0.2006</v>
      </c>
      <c r="D278" s="150">
        <v>0.13780000000000001</v>
      </c>
    </row>
    <row r="279" spans="1:4">
      <c r="A279" s="107" t="s">
        <v>254</v>
      </c>
      <c r="B279" s="108" t="s">
        <v>255</v>
      </c>
      <c r="C279" s="150">
        <v>1.9699999999999999E-2</v>
      </c>
      <c r="D279" s="150">
        <v>3.0300000000000001E-2</v>
      </c>
    </row>
    <row r="280" spans="1:4">
      <c r="A280" s="107" t="s">
        <v>256</v>
      </c>
      <c r="B280" s="108" t="s">
        <v>257</v>
      </c>
      <c r="C280" s="150">
        <v>3.9899999999999998E-2</v>
      </c>
      <c r="D280" s="150">
        <v>2.5399999999999999E-2</v>
      </c>
    </row>
    <row r="281" spans="1:4">
      <c r="A281" s="107" t="s">
        <v>258</v>
      </c>
      <c r="B281" s="108" t="s">
        <v>259</v>
      </c>
      <c r="C281" s="150">
        <v>3.9899999999999998E-2</v>
      </c>
      <c r="D281" s="150">
        <v>4.7500000000000001E-2</v>
      </c>
    </row>
    <row r="282" spans="1:4">
      <c r="A282" s="107" t="s">
        <v>260</v>
      </c>
      <c r="B282" s="108" t="s">
        <v>261</v>
      </c>
      <c r="C282" s="150">
        <v>5.1400000000000001E-2</v>
      </c>
      <c r="D282" s="150">
        <v>6.25E-2</v>
      </c>
    </row>
    <row r="283" spans="1:4">
      <c r="A283" s="107" t="s">
        <v>262</v>
      </c>
      <c r="B283" s="108" t="s">
        <v>263</v>
      </c>
      <c r="C283" s="150">
        <v>2.58E-2</v>
      </c>
      <c r="D283" s="150">
        <v>4.7899999999999998E-2</v>
      </c>
    </row>
    <row r="284" spans="1:4">
      <c r="A284" s="107" t="s">
        <v>264</v>
      </c>
      <c r="B284" s="108" t="s">
        <v>265</v>
      </c>
      <c r="C284" s="150">
        <v>0</v>
      </c>
      <c r="D284" s="150">
        <v>5.4300000000000001E-2</v>
      </c>
    </row>
    <row r="285" spans="1:4">
      <c r="A285" s="107" t="s">
        <v>266</v>
      </c>
      <c r="B285" s="108" t="s">
        <v>267</v>
      </c>
      <c r="C285" s="150">
        <v>0.1047</v>
      </c>
      <c r="D285" s="150">
        <v>8.6099999999999996E-2</v>
      </c>
    </row>
    <row r="286" spans="1:4">
      <c r="A286" s="107" t="s">
        <v>268</v>
      </c>
      <c r="B286" s="108" t="s">
        <v>184</v>
      </c>
      <c r="C286" s="150">
        <v>8.4000000000000005E-2</v>
      </c>
      <c r="D286" s="150">
        <v>7.7899999999999997E-2</v>
      </c>
    </row>
    <row r="287" spans="1:4">
      <c r="A287" s="107" t="s">
        <v>185</v>
      </c>
      <c r="B287" s="108" t="s">
        <v>186</v>
      </c>
      <c r="C287" s="150">
        <v>2.92E-2</v>
      </c>
      <c r="D287" s="150">
        <v>4.7699999999999999E-2</v>
      </c>
    </row>
    <row r="288" spans="1:4">
      <c r="A288" s="107" t="s">
        <v>187</v>
      </c>
      <c r="B288" s="108" t="s">
        <v>188</v>
      </c>
      <c r="C288" s="150">
        <v>4.8000000000000001E-2</v>
      </c>
      <c r="D288" s="150">
        <v>5.1999999999999998E-2</v>
      </c>
    </row>
    <row r="289" spans="1:4">
      <c r="A289" s="107" t="s">
        <v>566</v>
      </c>
      <c r="B289" s="108" t="s">
        <v>451</v>
      </c>
      <c r="C289" s="150">
        <v>2.2200000000000001E-2</v>
      </c>
      <c r="D289" s="150">
        <v>2.9100000000000001E-2</v>
      </c>
    </row>
    <row r="290" spans="1:4">
      <c r="A290" s="107" t="s">
        <v>189</v>
      </c>
      <c r="B290" s="108" t="s">
        <v>190</v>
      </c>
      <c r="C290" s="150">
        <v>3.44E-2</v>
      </c>
      <c r="D290" s="150">
        <v>2.3599999999999999E-2</v>
      </c>
    </row>
    <row r="291" spans="1:4">
      <c r="A291" s="107" t="s">
        <v>191</v>
      </c>
      <c r="B291" s="108" t="s">
        <v>192</v>
      </c>
      <c r="C291" s="150">
        <v>6.0499999999999998E-2</v>
      </c>
      <c r="D291" s="150">
        <v>5.0900000000000001E-2</v>
      </c>
    </row>
    <row r="292" spans="1:4">
      <c r="A292" s="107" t="s">
        <v>193</v>
      </c>
      <c r="B292" s="108" t="s">
        <v>277</v>
      </c>
      <c r="C292" s="150">
        <v>3.4000000000000002E-2</v>
      </c>
      <c r="D292" s="150">
        <v>3.9100000000000003E-2</v>
      </c>
    </row>
    <row r="293" spans="1:4">
      <c r="A293" s="107" t="s">
        <v>278</v>
      </c>
      <c r="B293" s="108" t="s">
        <v>279</v>
      </c>
      <c r="C293" s="150">
        <v>6.2300000000000001E-2</v>
      </c>
      <c r="D293" s="150">
        <v>5.6099999999999997E-2</v>
      </c>
    </row>
    <row r="294" spans="1:4">
      <c r="A294" s="107" t="s">
        <v>280</v>
      </c>
      <c r="B294" s="108" t="s">
        <v>500</v>
      </c>
      <c r="C294" s="150">
        <v>5.0799999999999998E-2</v>
      </c>
      <c r="D294" s="150">
        <v>6.2600000000000003E-2</v>
      </c>
    </row>
    <row r="295" spans="1:4">
      <c r="A295" s="107" t="s">
        <v>501</v>
      </c>
      <c r="B295" s="108" t="s">
        <v>502</v>
      </c>
      <c r="C295" s="150">
        <v>3.9600000000000003E-2</v>
      </c>
      <c r="D295" s="150">
        <v>4.4900000000000002E-2</v>
      </c>
    </row>
    <row r="296" spans="1:4">
      <c r="A296" s="107" t="s">
        <v>503</v>
      </c>
      <c r="B296" s="108" t="s">
        <v>504</v>
      </c>
      <c r="C296" s="150">
        <v>3.1099999999999999E-2</v>
      </c>
      <c r="D296" s="150">
        <v>5.6899999999999999E-2</v>
      </c>
    </row>
    <row r="297" spans="1:4">
      <c r="A297" s="107" t="s">
        <v>505</v>
      </c>
      <c r="B297" s="108" t="s">
        <v>506</v>
      </c>
      <c r="C297" s="150">
        <v>6.7599999999999993E-2</v>
      </c>
      <c r="D297" s="150">
        <v>5.16E-2</v>
      </c>
    </row>
    <row r="298" spans="1:4">
      <c r="A298" s="107" t="s">
        <v>507</v>
      </c>
      <c r="B298" s="108" t="s">
        <v>508</v>
      </c>
      <c r="C298" s="150">
        <v>0.1026</v>
      </c>
      <c r="D298" s="150">
        <v>7.4800000000000005E-2</v>
      </c>
    </row>
    <row r="299" spans="1:4">
      <c r="A299" s="107" t="s">
        <v>509</v>
      </c>
      <c r="B299" s="108" t="s">
        <v>510</v>
      </c>
      <c r="C299" s="150">
        <v>4.6199999999999998E-2</v>
      </c>
      <c r="D299" s="150">
        <v>6.7400000000000002E-2</v>
      </c>
    </row>
    <row r="300" spans="1:4">
      <c r="A300" s="107" t="s">
        <v>511</v>
      </c>
      <c r="B300" s="108" t="s">
        <v>31</v>
      </c>
      <c r="C300" s="150">
        <v>4.3400000000000001E-2</v>
      </c>
      <c r="D300" s="150">
        <v>5.6599999999999998E-2</v>
      </c>
    </row>
    <row r="301" spans="1:4">
      <c r="A301" s="107" t="s">
        <v>32</v>
      </c>
      <c r="B301" s="108" t="s">
        <v>33</v>
      </c>
      <c r="C301" s="150">
        <v>2.0500000000000001E-2</v>
      </c>
      <c r="D301" s="150">
        <v>4.2200000000000001E-2</v>
      </c>
    </row>
    <row r="302" spans="1:4">
      <c r="A302" s="107" t="s">
        <v>34</v>
      </c>
      <c r="B302" s="108" t="s">
        <v>35</v>
      </c>
      <c r="C302" s="150">
        <v>3.7400000000000003E-2</v>
      </c>
      <c r="D302" s="150">
        <v>4.4400000000000002E-2</v>
      </c>
    </row>
    <row r="303" spans="1:4">
      <c r="A303" s="107" t="s">
        <v>36</v>
      </c>
      <c r="B303" s="108" t="s">
        <v>519</v>
      </c>
      <c r="C303" s="150">
        <v>5.11E-2</v>
      </c>
      <c r="D303" s="150">
        <v>3.0200000000000001E-2</v>
      </c>
    </row>
    <row r="304" spans="1:4">
      <c r="A304" s="107" t="s">
        <v>520</v>
      </c>
      <c r="B304" s="108" t="s">
        <v>521</v>
      </c>
      <c r="C304" s="150">
        <v>4.4999999999999998E-2</v>
      </c>
      <c r="D304" s="150">
        <v>6.0299999999999999E-2</v>
      </c>
    </row>
    <row r="305" spans="1:4">
      <c r="A305" s="110" t="s">
        <v>957</v>
      </c>
      <c r="B305" s="108" t="s">
        <v>976</v>
      </c>
      <c r="C305" s="150">
        <v>0.08</v>
      </c>
      <c r="D305" s="150">
        <v>0.08</v>
      </c>
    </row>
    <row r="306" spans="1:4">
      <c r="A306" s="107" t="s">
        <v>522</v>
      </c>
      <c r="B306" s="108" t="s">
        <v>484</v>
      </c>
      <c r="C306" s="150">
        <v>6.0299999999999999E-2</v>
      </c>
      <c r="D306" s="150">
        <v>5.2600000000000001E-2</v>
      </c>
    </row>
    <row r="307" spans="1:4">
      <c r="A307" s="107" t="s">
        <v>485</v>
      </c>
      <c r="B307" s="108" t="s">
        <v>297</v>
      </c>
      <c r="C307" s="150">
        <v>3.49E-2</v>
      </c>
      <c r="D307" s="150">
        <v>3.5299999999999998E-2</v>
      </c>
    </row>
    <row r="308" spans="1:4">
      <c r="A308" s="107" t="s">
        <v>298</v>
      </c>
      <c r="B308" s="108" t="s">
        <v>892</v>
      </c>
      <c r="C308" s="150">
        <v>4.6899999999999997E-2</v>
      </c>
      <c r="D308" s="150">
        <v>5.7299999999999997E-2</v>
      </c>
    </row>
    <row r="309" spans="1:4">
      <c r="A309" s="107" t="s">
        <v>299</v>
      </c>
      <c r="B309" s="108" t="s">
        <v>893</v>
      </c>
      <c r="C309" s="150">
        <v>5.4899999999999997E-2</v>
      </c>
      <c r="D309" s="150">
        <v>6.2600000000000003E-2</v>
      </c>
    </row>
    <row r="310" spans="1:4">
      <c r="A310" s="107" t="s">
        <v>1311</v>
      </c>
      <c r="B310" s="108" t="s">
        <v>1769</v>
      </c>
      <c r="C310" s="150"/>
      <c r="D310" s="150">
        <v>0.08</v>
      </c>
    </row>
    <row r="311" spans="1:4">
      <c r="A311" s="107" t="s">
        <v>300</v>
      </c>
      <c r="B311" s="108" t="s">
        <v>301</v>
      </c>
      <c r="C311" s="150">
        <v>3.6600000000000001E-2</v>
      </c>
      <c r="D311" s="150">
        <v>3.8300000000000001E-2</v>
      </c>
    </row>
    <row r="312" spans="1:4">
      <c r="A312" s="107" t="s">
        <v>302</v>
      </c>
      <c r="B312" s="108" t="s">
        <v>303</v>
      </c>
      <c r="C312" s="150">
        <v>4.3499999999999997E-2</v>
      </c>
      <c r="D312" s="150">
        <v>3.7199999999999997E-2</v>
      </c>
    </row>
    <row r="313" spans="1:4">
      <c r="A313" s="107" t="s">
        <v>304</v>
      </c>
      <c r="B313" s="108" t="s">
        <v>305</v>
      </c>
      <c r="C313" s="150">
        <v>1.5800000000000002E-2</v>
      </c>
      <c r="D313" s="150">
        <v>5.8999999999999997E-2</v>
      </c>
    </row>
    <row r="314" spans="1:4">
      <c r="A314" s="107" t="s">
        <v>1161</v>
      </c>
      <c r="B314" s="108" t="s">
        <v>1770</v>
      </c>
      <c r="C314" s="150"/>
      <c r="D314" s="150">
        <v>0.08</v>
      </c>
    </row>
    <row r="315" spans="1:4">
      <c r="A315" s="107" t="s">
        <v>306</v>
      </c>
      <c r="B315" s="108" t="s">
        <v>307</v>
      </c>
      <c r="C315" s="150">
        <v>3.1E-2</v>
      </c>
      <c r="D315" s="150">
        <v>3.9399999999999998E-2</v>
      </c>
    </row>
    <row r="316" spans="1:4">
      <c r="A316" s="107" t="s">
        <v>308</v>
      </c>
      <c r="B316" s="108" t="s">
        <v>309</v>
      </c>
      <c r="C316" s="150">
        <v>3.1E-2</v>
      </c>
      <c r="D316" s="150">
        <v>2.69E-2</v>
      </c>
    </row>
    <row r="317" spans="1:4">
      <c r="A317" s="110" t="s">
        <v>958</v>
      </c>
      <c r="B317" s="108" t="s">
        <v>959</v>
      </c>
      <c r="C317" s="150">
        <v>0.34589999999999999</v>
      </c>
      <c r="D317" s="150">
        <v>0.90559999999999996</v>
      </c>
    </row>
    <row r="318" spans="1:4">
      <c r="A318" s="107" t="s">
        <v>310</v>
      </c>
      <c r="B318" s="108" t="s">
        <v>311</v>
      </c>
      <c r="C318" s="150">
        <v>6.7100000000000007E-2</v>
      </c>
      <c r="D318" s="150">
        <v>8.5000000000000006E-2</v>
      </c>
    </row>
    <row r="319" spans="1:4">
      <c r="A319" s="107" t="s">
        <v>312</v>
      </c>
      <c r="B319" s="108" t="s">
        <v>172</v>
      </c>
      <c r="C319" s="150">
        <v>7.46E-2</v>
      </c>
      <c r="D319" s="150">
        <v>5.5E-2</v>
      </c>
    </row>
    <row r="320" spans="1:4">
      <c r="A320" s="107" t="s">
        <v>173</v>
      </c>
      <c r="B320" s="108" t="s">
        <v>174</v>
      </c>
      <c r="C320" s="150">
        <v>9.3200000000000005E-2</v>
      </c>
      <c r="D320" s="150">
        <v>6.4199999999999993E-2</v>
      </c>
    </row>
    <row r="321" spans="1:4">
      <c r="A321" s="107" t="s">
        <v>175</v>
      </c>
      <c r="B321" s="108" t="s">
        <v>176</v>
      </c>
      <c r="C321" s="150">
        <v>1.9099999999999999E-2</v>
      </c>
      <c r="D321" s="150">
        <v>3.1600000000000003E-2</v>
      </c>
    </row>
    <row r="322" spans="1:4">
      <c r="A322" s="107" t="s">
        <v>177</v>
      </c>
      <c r="B322" s="108" t="s">
        <v>178</v>
      </c>
      <c r="C322" s="150">
        <v>2.3699999999999999E-2</v>
      </c>
      <c r="D322" s="150">
        <v>4.5100000000000001E-2</v>
      </c>
    </row>
    <row r="323" spans="1:4">
      <c r="A323" s="107" t="s">
        <v>179</v>
      </c>
      <c r="B323" s="108" t="s">
        <v>180</v>
      </c>
      <c r="C323" s="150">
        <v>1.9400000000000001E-2</v>
      </c>
      <c r="D323" s="150">
        <v>1.7500000000000002E-2</v>
      </c>
    </row>
    <row r="324" spans="1:4">
      <c r="A324" s="107" t="s">
        <v>1045</v>
      </c>
      <c r="B324" s="108" t="s">
        <v>1351</v>
      </c>
      <c r="C324" s="150">
        <v>0.08</v>
      </c>
      <c r="D324" s="150">
        <v>0.08</v>
      </c>
    </row>
    <row r="325" spans="1:4">
      <c r="A325" s="107" t="s">
        <v>181</v>
      </c>
      <c r="B325" s="108" t="s">
        <v>314</v>
      </c>
      <c r="C325" s="150">
        <v>5.1400000000000001E-2</v>
      </c>
      <c r="D325" s="150">
        <v>4.5400000000000003E-2</v>
      </c>
    </row>
    <row r="326" spans="1:4">
      <c r="A326" s="110" t="s">
        <v>407</v>
      </c>
      <c r="B326" s="108" t="s">
        <v>408</v>
      </c>
      <c r="C326" s="150">
        <v>5.4899999999999997E-2</v>
      </c>
      <c r="D326" s="150">
        <v>5.8700000000000002E-2</v>
      </c>
    </row>
  </sheetData>
  <autoFilter ref="A6:D326" xr:uid="{00000000-0001-0000-1000-000000000000}"/>
  <customSheetViews>
    <customSheetView guid="{3391497B-85F4-4817-B669-10F463F3A207}" showAutoFilter="1" state="hidden">
      <selection activeCell="K86" sqref="K86"/>
      <pageMargins left="0.7" right="0.7" top="0.75" bottom="0.75" header="0.3" footer="0.3"/>
      <pageSetup orientation="portrait" r:id="rId1"/>
      <autoFilter ref="B1" xr:uid="{6FA42916-50D4-4D25-B8E3-ECFC6A075D34}"/>
    </customSheetView>
    <customSheetView guid="{6D4FF6D6-C66D-4B43-9B4E-7985B86B1BBC}" showAutoFilter="1" state="hidden">
      <selection activeCell="K86" sqref="K86"/>
      <pageMargins left="0.7" right="0.7" top="0.75" bottom="0.75" header="0.3" footer="0.3"/>
      <pageSetup orientation="portrait" r:id="rId2"/>
      <autoFilter ref="B1" xr:uid="{26068C16-97DE-4931-B182-BBCB6BF1C0D2}"/>
    </customSheetView>
    <customSheetView guid="{258DC0F9-B8C5-4A47-B911-FC6C1B128653}" showAutoFilter="1" state="hidden">
      <selection activeCell="K86" sqref="K86"/>
      <pageMargins left="0.7" right="0.7" top="0.75" bottom="0.75" header="0.3" footer="0.3"/>
      <pageSetup orientation="portrait" r:id="rId3"/>
      <autoFilter ref="B1" xr:uid="{BC174C92-7A4A-4F56-9693-FF582DA5972E}"/>
    </customSheetView>
  </customSheetViews>
  <hyperlinks>
    <hyperlink ref="F1" r:id="rId4" xr:uid="{50CADAAF-9EE8-48EA-938D-27FC4A56B584}"/>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DD8B-6800-4058-B988-9F9B3553DF56}">
  <sheetPr>
    <tabColor rgb="FF92D050"/>
  </sheetPr>
  <dimension ref="A1:C133"/>
  <sheetViews>
    <sheetView workbookViewId="0">
      <selection activeCell="C133" sqref="C2:C133"/>
    </sheetView>
  </sheetViews>
  <sheetFormatPr defaultRowHeight="16.5"/>
  <cols>
    <col min="1" max="1" width="7.28515625" style="116" bestFit="1" customWidth="1"/>
    <col min="2" max="2" width="30.7109375" style="116" bestFit="1" customWidth="1"/>
    <col min="3" max="16384" width="9.140625" style="116"/>
  </cols>
  <sheetData>
    <row r="1" spans="1:3" ht="49.5">
      <c r="A1" s="254" t="s">
        <v>867</v>
      </c>
      <c r="B1" s="254" t="s">
        <v>1358</v>
      </c>
      <c r="C1" s="254" t="s">
        <v>2085</v>
      </c>
    </row>
    <row r="2" spans="1:3">
      <c r="A2" s="255" t="s">
        <v>53</v>
      </c>
      <c r="B2" s="256" t="s">
        <v>589</v>
      </c>
      <c r="C2" s="257">
        <v>14896</v>
      </c>
    </row>
    <row r="3" spans="1:3">
      <c r="A3" s="258" t="s">
        <v>182</v>
      </c>
      <c r="B3" s="259" t="s">
        <v>591</v>
      </c>
      <c r="C3" s="260">
        <v>31536</v>
      </c>
    </row>
    <row r="4" spans="1:3">
      <c r="A4" s="258" t="s">
        <v>471</v>
      </c>
      <c r="B4" s="259" t="s">
        <v>592</v>
      </c>
      <c r="C4" s="260">
        <v>69562</v>
      </c>
    </row>
    <row r="5" spans="1:3">
      <c r="A5" s="258" t="s">
        <v>474</v>
      </c>
      <c r="B5" s="259" t="s">
        <v>594</v>
      </c>
      <c r="C5" s="260">
        <v>229401</v>
      </c>
    </row>
    <row r="6" spans="1:3">
      <c r="A6" s="258" t="s">
        <v>476</v>
      </c>
      <c r="B6" s="259" t="s">
        <v>595</v>
      </c>
      <c r="C6" s="260">
        <v>159730</v>
      </c>
    </row>
    <row r="7" spans="1:3">
      <c r="A7" s="258" t="s">
        <v>477</v>
      </c>
      <c r="B7" s="259" t="s">
        <v>596</v>
      </c>
      <c r="C7" s="260">
        <v>90580</v>
      </c>
    </row>
    <row r="8" spans="1:3">
      <c r="A8" s="258" t="s">
        <v>195</v>
      </c>
      <c r="B8" s="259" t="s">
        <v>597</v>
      </c>
      <c r="C8" s="260">
        <v>701083</v>
      </c>
    </row>
    <row r="9" spans="1:3">
      <c r="A9" s="258" t="s">
        <v>197</v>
      </c>
      <c r="B9" s="259" t="s">
        <v>598</v>
      </c>
      <c r="C9" s="260">
        <v>245042</v>
      </c>
    </row>
    <row r="10" spans="1:3">
      <c r="A10" s="258" t="s">
        <v>201</v>
      </c>
      <c r="B10" s="259" t="s">
        <v>600</v>
      </c>
      <c r="C10" s="260">
        <v>195851</v>
      </c>
    </row>
    <row r="11" spans="1:3">
      <c r="A11" s="258" t="s">
        <v>14</v>
      </c>
      <c r="B11" s="259" t="s">
        <v>602</v>
      </c>
      <c r="C11" s="260">
        <v>86156</v>
      </c>
    </row>
    <row r="12" spans="1:3">
      <c r="A12" s="258" t="s">
        <v>16</v>
      </c>
      <c r="B12" s="259" t="s">
        <v>603</v>
      </c>
      <c r="C12" s="260">
        <v>7625</v>
      </c>
    </row>
    <row r="13" spans="1:3">
      <c r="A13" s="258" t="s">
        <v>524</v>
      </c>
      <c r="B13" s="259" t="s">
        <v>604</v>
      </c>
      <c r="C13" s="260">
        <v>53330</v>
      </c>
    </row>
    <row r="14" spans="1:3">
      <c r="A14" s="258" t="s">
        <v>532</v>
      </c>
      <c r="B14" s="259" t="s">
        <v>608</v>
      </c>
      <c r="C14" s="260">
        <v>13582</v>
      </c>
    </row>
    <row r="15" spans="1:3">
      <c r="A15" s="258" t="s">
        <v>534</v>
      </c>
      <c r="B15" s="259" t="s">
        <v>609</v>
      </c>
      <c r="C15" s="260">
        <v>154663</v>
      </c>
    </row>
    <row r="16" spans="1:3">
      <c r="A16" s="258" t="s">
        <v>538</v>
      </c>
      <c r="B16" s="259" t="s">
        <v>847</v>
      </c>
      <c r="C16" s="260">
        <v>0</v>
      </c>
    </row>
    <row r="17" spans="1:3">
      <c r="A17" s="258" t="s">
        <v>153</v>
      </c>
      <c r="B17" s="259" t="s">
        <v>612</v>
      </c>
      <c r="C17" s="260">
        <v>2987</v>
      </c>
    </row>
    <row r="18" spans="1:3">
      <c r="A18" s="258" t="s">
        <v>155</v>
      </c>
      <c r="B18" s="259" t="s">
        <v>613</v>
      </c>
      <c r="C18" s="260">
        <v>14433</v>
      </c>
    </row>
    <row r="19" spans="1:3">
      <c r="A19" s="258" t="s">
        <v>1050</v>
      </c>
      <c r="B19" s="259" t="s">
        <v>1507</v>
      </c>
      <c r="C19" s="260">
        <v>5886</v>
      </c>
    </row>
    <row r="20" spans="1:3">
      <c r="A20" s="258" t="s">
        <v>281</v>
      </c>
      <c r="B20" s="259" t="s">
        <v>614</v>
      </c>
      <c r="C20" s="260">
        <v>169714</v>
      </c>
    </row>
    <row r="21" spans="1:3">
      <c r="A21" s="258" t="s">
        <v>283</v>
      </c>
      <c r="B21" s="259" t="s">
        <v>615</v>
      </c>
      <c r="C21" s="260">
        <v>108754</v>
      </c>
    </row>
    <row r="22" spans="1:3">
      <c r="A22" s="258" t="s">
        <v>285</v>
      </c>
      <c r="B22" s="259" t="s">
        <v>616</v>
      </c>
      <c r="C22" s="260">
        <v>36155</v>
      </c>
    </row>
    <row r="23" spans="1:3">
      <c r="A23" s="258" t="s">
        <v>287</v>
      </c>
      <c r="B23" s="259" t="s">
        <v>617</v>
      </c>
      <c r="C23" s="260">
        <v>23636</v>
      </c>
    </row>
    <row r="24" spans="1:3">
      <c r="A24" s="258" t="s">
        <v>289</v>
      </c>
      <c r="B24" s="259" t="s">
        <v>618</v>
      </c>
      <c r="C24" s="260">
        <v>13581</v>
      </c>
    </row>
    <row r="25" spans="1:3">
      <c r="A25" s="258" t="s">
        <v>19</v>
      </c>
      <c r="B25" s="259" t="s">
        <v>620</v>
      </c>
      <c r="C25" s="260">
        <v>9504</v>
      </c>
    </row>
    <row r="26" spans="1:3">
      <c r="A26" s="258" t="s">
        <v>25</v>
      </c>
      <c r="B26" s="259" t="s">
        <v>623</v>
      </c>
      <c r="C26" s="260">
        <v>144746</v>
      </c>
    </row>
    <row r="27" spans="1:3">
      <c r="A27" s="258" t="s">
        <v>29</v>
      </c>
      <c r="B27" s="259" t="s">
        <v>625</v>
      </c>
      <c r="C27" s="260">
        <v>1819</v>
      </c>
    </row>
    <row r="28" spans="1:3">
      <c r="A28" s="258" t="s">
        <v>134</v>
      </c>
      <c r="B28" s="259" t="s">
        <v>627</v>
      </c>
      <c r="C28" s="260">
        <v>0</v>
      </c>
    </row>
    <row r="29" spans="1:3">
      <c r="A29" s="258" t="s">
        <v>136</v>
      </c>
      <c r="B29" s="259" t="s">
        <v>628</v>
      </c>
      <c r="C29" s="260">
        <v>15270</v>
      </c>
    </row>
    <row r="30" spans="1:3">
      <c r="A30" s="258" t="s">
        <v>138</v>
      </c>
      <c r="B30" s="259" t="s">
        <v>629</v>
      </c>
      <c r="C30" s="260">
        <v>8120</v>
      </c>
    </row>
    <row r="31" spans="1:3">
      <c r="A31" s="258" t="s">
        <v>143</v>
      </c>
      <c r="B31" s="259" t="s">
        <v>631</v>
      </c>
      <c r="C31" s="260">
        <v>11714</v>
      </c>
    </row>
    <row r="32" spans="1:3">
      <c r="A32" s="258" t="s">
        <v>357</v>
      </c>
      <c r="B32" s="259" t="s">
        <v>640</v>
      </c>
      <c r="C32" s="260">
        <v>22666</v>
      </c>
    </row>
    <row r="33" spans="1:3">
      <c r="A33" s="258" t="s">
        <v>230</v>
      </c>
      <c r="B33" s="259" t="s">
        <v>982</v>
      </c>
      <c r="C33" s="260">
        <v>2663</v>
      </c>
    </row>
    <row r="34" spans="1:3">
      <c r="A34" s="258" t="s">
        <v>232</v>
      </c>
      <c r="B34" s="259" t="s">
        <v>641</v>
      </c>
      <c r="C34" s="260">
        <v>1976</v>
      </c>
    </row>
    <row r="35" spans="1:3">
      <c r="A35" s="258" t="s">
        <v>236</v>
      </c>
      <c r="B35" s="259" t="s">
        <v>643</v>
      </c>
      <c r="C35" s="260">
        <v>8961</v>
      </c>
    </row>
    <row r="36" spans="1:3">
      <c r="A36" s="258" t="s">
        <v>238</v>
      </c>
      <c r="B36" s="259" t="s">
        <v>644</v>
      </c>
      <c r="C36" s="260">
        <v>166004</v>
      </c>
    </row>
    <row r="37" spans="1:3">
      <c r="A37" s="258" t="s">
        <v>240</v>
      </c>
      <c r="B37" s="259" t="s">
        <v>645</v>
      </c>
      <c r="C37" s="260">
        <v>15332</v>
      </c>
    </row>
    <row r="38" spans="1:3">
      <c r="A38" s="258" t="s">
        <v>409</v>
      </c>
      <c r="B38" s="259" t="s">
        <v>646</v>
      </c>
      <c r="C38" s="260">
        <v>0</v>
      </c>
    </row>
    <row r="39" spans="1:3">
      <c r="A39" s="258" t="s">
        <v>415</v>
      </c>
      <c r="B39" s="259" t="s">
        <v>649</v>
      </c>
      <c r="C39" s="260">
        <v>101610</v>
      </c>
    </row>
    <row r="40" spans="1:3">
      <c r="A40" s="258" t="s">
        <v>941</v>
      </c>
      <c r="B40" s="259" t="s">
        <v>869</v>
      </c>
      <c r="C40" s="260">
        <v>216100</v>
      </c>
    </row>
    <row r="41" spans="1:3">
      <c r="A41" s="258" t="s">
        <v>513</v>
      </c>
      <c r="B41" s="259" t="s">
        <v>652</v>
      </c>
      <c r="C41" s="260">
        <v>371275</v>
      </c>
    </row>
    <row r="42" spans="1:3">
      <c r="A42" s="258" t="s">
        <v>515</v>
      </c>
      <c r="B42" s="259" t="s">
        <v>984</v>
      </c>
      <c r="C42" s="260">
        <v>236003</v>
      </c>
    </row>
    <row r="43" spans="1:3">
      <c r="A43" s="258" t="s">
        <v>517</v>
      </c>
      <c r="B43" s="259" t="s">
        <v>653</v>
      </c>
      <c r="C43" s="260">
        <v>287342</v>
      </c>
    </row>
    <row r="44" spans="1:3">
      <c r="A44" s="258" t="s">
        <v>420</v>
      </c>
      <c r="B44" s="259" t="s">
        <v>654</v>
      </c>
      <c r="C44" s="260">
        <v>58448</v>
      </c>
    </row>
    <row r="45" spans="1:3">
      <c r="A45" s="258" t="s">
        <v>422</v>
      </c>
      <c r="B45" s="259" t="s">
        <v>655</v>
      </c>
      <c r="C45" s="260">
        <v>32217</v>
      </c>
    </row>
    <row r="46" spans="1:3">
      <c r="A46" s="258" t="s">
        <v>426</v>
      </c>
      <c r="B46" s="259" t="s">
        <v>657</v>
      </c>
      <c r="C46" s="260">
        <v>65910</v>
      </c>
    </row>
    <row r="47" spans="1:3">
      <c r="A47" s="258" t="s">
        <v>219</v>
      </c>
      <c r="B47" s="259" t="s">
        <v>661</v>
      </c>
      <c r="C47" s="260">
        <v>49302</v>
      </c>
    </row>
    <row r="48" spans="1:3">
      <c r="A48" s="258" t="s">
        <v>313</v>
      </c>
      <c r="B48" s="259" t="s">
        <v>663</v>
      </c>
      <c r="C48" s="260">
        <v>97108</v>
      </c>
    </row>
    <row r="49" spans="1:3">
      <c r="A49" s="258" t="s">
        <v>439</v>
      </c>
      <c r="B49" s="259" t="s">
        <v>664</v>
      </c>
      <c r="C49" s="260">
        <v>5370</v>
      </c>
    </row>
    <row r="50" spans="1:3">
      <c r="A50" s="258" t="s">
        <v>332</v>
      </c>
      <c r="B50" s="259" t="s">
        <v>669</v>
      </c>
      <c r="C50" s="260">
        <v>347032</v>
      </c>
    </row>
    <row r="51" spans="1:3">
      <c r="A51" s="258" t="s">
        <v>334</v>
      </c>
      <c r="B51" s="259" t="s">
        <v>670</v>
      </c>
      <c r="C51" s="260">
        <v>18173</v>
      </c>
    </row>
    <row r="52" spans="1:3">
      <c r="A52" s="258" t="s">
        <v>344</v>
      </c>
      <c r="B52" s="259" t="s">
        <v>675</v>
      </c>
      <c r="C52" s="260">
        <v>566634</v>
      </c>
    </row>
    <row r="53" spans="1:3">
      <c r="A53" s="258" t="s">
        <v>456</v>
      </c>
      <c r="B53" s="259" t="s">
        <v>677</v>
      </c>
      <c r="C53" s="260">
        <v>88196</v>
      </c>
    </row>
    <row r="54" spans="1:3">
      <c r="A54" s="258" t="s">
        <v>458</v>
      </c>
      <c r="B54" s="259" t="s">
        <v>678</v>
      </c>
      <c r="C54" s="260">
        <v>41886</v>
      </c>
    </row>
    <row r="55" spans="1:3">
      <c r="A55" s="258" t="s">
        <v>460</v>
      </c>
      <c r="B55" s="259" t="s">
        <v>679</v>
      </c>
      <c r="C55" s="260">
        <v>600302</v>
      </c>
    </row>
    <row r="56" spans="1:3">
      <c r="A56" s="258" t="s">
        <v>482</v>
      </c>
      <c r="B56" s="259" t="s">
        <v>681</v>
      </c>
      <c r="C56" s="260">
        <v>28213</v>
      </c>
    </row>
    <row r="57" spans="1:3">
      <c r="A57" s="258" t="s">
        <v>121</v>
      </c>
      <c r="B57" s="259" t="s">
        <v>682</v>
      </c>
      <c r="C57" s="260">
        <v>26446</v>
      </c>
    </row>
    <row r="58" spans="1:3">
      <c r="A58" s="258" t="s">
        <v>295</v>
      </c>
      <c r="B58" s="259" t="s">
        <v>683</v>
      </c>
      <c r="C58" s="260">
        <v>4826</v>
      </c>
    </row>
    <row r="59" spans="1:3">
      <c r="A59" s="258" t="s">
        <v>124</v>
      </c>
      <c r="B59" s="259" t="s">
        <v>685</v>
      </c>
      <c r="C59" s="260">
        <v>9106</v>
      </c>
    </row>
    <row r="60" spans="1:3">
      <c r="A60" s="258" t="s">
        <v>126</v>
      </c>
      <c r="B60" s="259" t="s">
        <v>686</v>
      </c>
      <c r="C60" s="260">
        <v>166683</v>
      </c>
    </row>
    <row r="61" spans="1:3">
      <c r="A61" s="258" t="s">
        <v>128</v>
      </c>
      <c r="B61" s="259" t="s">
        <v>687</v>
      </c>
      <c r="C61" s="260">
        <v>1138941</v>
      </c>
    </row>
    <row r="62" spans="1:3">
      <c r="A62" s="258" t="s">
        <v>130</v>
      </c>
      <c r="B62" s="259" t="s">
        <v>688</v>
      </c>
      <c r="C62" s="260">
        <v>38168</v>
      </c>
    </row>
    <row r="63" spans="1:3">
      <c r="A63" s="258" t="s">
        <v>466</v>
      </c>
      <c r="B63" s="259" t="s">
        <v>692</v>
      </c>
      <c r="C63" s="260">
        <v>68895</v>
      </c>
    </row>
    <row r="64" spans="1:3">
      <c r="A64" s="258" t="s">
        <v>470</v>
      </c>
      <c r="B64" s="259" t="s">
        <v>988</v>
      </c>
      <c r="C64" s="260">
        <v>2755</v>
      </c>
    </row>
    <row r="65" spans="1:3">
      <c r="A65" s="258" t="s">
        <v>488</v>
      </c>
      <c r="B65" s="259" t="s">
        <v>694</v>
      </c>
      <c r="C65" s="260">
        <v>5127</v>
      </c>
    </row>
    <row r="66" spans="1:3">
      <c r="A66" s="258" t="s">
        <v>499</v>
      </c>
      <c r="B66" s="259" t="s">
        <v>699</v>
      </c>
      <c r="C66" s="260">
        <v>287564</v>
      </c>
    </row>
    <row r="67" spans="1:3">
      <c r="A67" s="258" t="s">
        <v>39</v>
      </c>
      <c r="B67" s="259" t="s">
        <v>700</v>
      </c>
      <c r="C67" s="260">
        <v>6704</v>
      </c>
    </row>
    <row r="68" spans="1:3">
      <c r="A68" s="258" t="s">
        <v>43</v>
      </c>
      <c r="B68" s="259" t="s">
        <v>702</v>
      </c>
      <c r="C68" s="260">
        <v>186303</v>
      </c>
    </row>
    <row r="69" spans="1:3">
      <c r="A69" s="258" t="s">
        <v>45</v>
      </c>
      <c r="B69" s="259" t="s">
        <v>703</v>
      </c>
      <c r="C69" s="260">
        <v>28374</v>
      </c>
    </row>
    <row r="70" spans="1:3">
      <c r="A70" s="258" t="s">
        <v>71</v>
      </c>
      <c r="B70" s="259" t="s">
        <v>704</v>
      </c>
      <c r="C70" s="260">
        <v>109532</v>
      </c>
    </row>
    <row r="71" spans="1:3">
      <c r="A71" s="258" t="s">
        <v>75</v>
      </c>
      <c r="B71" s="259" t="s">
        <v>706</v>
      </c>
      <c r="C71" s="260">
        <v>7625</v>
      </c>
    </row>
    <row r="72" spans="1:3">
      <c r="A72" s="258" t="s">
        <v>207</v>
      </c>
      <c r="B72" s="259" t="s">
        <v>708</v>
      </c>
      <c r="C72" s="260">
        <v>7625</v>
      </c>
    </row>
    <row r="73" spans="1:3">
      <c r="A73" s="258" t="s">
        <v>211</v>
      </c>
      <c r="B73" s="259" t="s">
        <v>710</v>
      </c>
      <c r="C73" s="260">
        <v>14460</v>
      </c>
    </row>
    <row r="74" spans="1:3">
      <c r="A74" s="258" t="s">
        <v>89</v>
      </c>
      <c r="B74" s="259" t="s">
        <v>711</v>
      </c>
      <c r="C74" s="260">
        <v>115485</v>
      </c>
    </row>
    <row r="75" spans="1:3">
      <c r="A75" s="258" t="s">
        <v>90</v>
      </c>
      <c r="B75" s="259" t="s">
        <v>712</v>
      </c>
      <c r="C75" s="260">
        <v>153032</v>
      </c>
    </row>
    <row r="76" spans="1:3">
      <c r="A76" s="258" t="s">
        <v>94</v>
      </c>
      <c r="B76" s="259" t="s">
        <v>714</v>
      </c>
      <c r="C76" s="260">
        <v>38328</v>
      </c>
    </row>
    <row r="77" spans="1:3">
      <c r="A77" s="258" t="s">
        <v>214</v>
      </c>
      <c r="B77" s="259" t="s">
        <v>719</v>
      </c>
      <c r="C77" s="260">
        <v>1809</v>
      </c>
    </row>
    <row r="78" spans="1:3">
      <c r="A78" s="258" t="s">
        <v>48</v>
      </c>
      <c r="B78" s="259" t="s">
        <v>721</v>
      </c>
      <c r="C78" s="260">
        <v>109193</v>
      </c>
    </row>
    <row r="79" spans="1:3">
      <c r="A79" s="258" t="s">
        <v>50</v>
      </c>
      <c r="B79" s="259" t="s">
        <v>722</v>
      </c>
      <c r="C79" s="260">
        <v>6964</v>
      </c>
    </row>
    <row r="80" spans="1:3">
      <c r="A80" s="258" t="s">
        <v>318</v>
      </c>
      <c r="B80" s="259" t="s">
        <v>724</v>
      </c>
      <c r="C80" s="260">
        <v>120775</v>
      </c>
    </row>
    <row r="81" spans="1:3">
      <c r="A81" s="258" t="s">
        <v>322</v>
      </c>
      <c r="B81" s="259" t="s">
        <v>726</v>
      </c>
      <c r="C81" s="260">
        <v>789243</v>
      </c>
    </row>
    <row r="82" spans="1:3">
      <c r="A82" s="258" t="s">
        <v>324</v>
      </c>
      <c r="B82" s="259" t="s">
        <v>727</v>
      </c>
      <c r="C82" s="260">
        <v>6607</v>
      </c>
    </row>
    <row r="83" spans="1:3">
      <c r="A83" s="258" t="s">
        <v>328</v>
      </c>
      <c r="B83" s="259" t="s">
        <v>729</v>
      </c>
      <c r="C83" s="260">
        <v>4750</v>
      </c>
    </row>
    <row r="84" spans="1:3">
      <c r="A84" s="258" t="s">
        <v>110</v>
      </c>
      <c r="B84" s="259" t="s">
        <v>733</v>
      </c>
      <c r="C84" s="260">
        <v>116857</v>
      </c>
    </row>
    <row r="85" spans="1:3">
      <c r="A85" s="258" t="s">
        <v>114</v>
      </c>
      <c r="B85" s="259" t="s">
        <v>735</v>
      </c>
      <c r="C85" s="260">
        <v>0</v>
      </c>
    </row>
    <row r="86" spans="1:3">
      <c r="A86" s="258" t="s">
        <v>165</v>
      </c>
      <c r="B86" s="259" t="s">
        <v>741</v>
      </c>
      <c r="C86" s="260">
        <v>108318</v>
      </c>
    </row>
    <row r="87" spans="1:3">
      <c r="A87" s="258" t="s">
        <v>395</v>
      </c>
      <c r="B87" s="259" t="s">
        <v>749</v>
      </c>
      <c r="C87" s="260">
        <v>79747</v>
      </c>
    </row>
    <row r="88" spans="1:3">
      <c r="A88" s="258" t="s">
        <v>397</v>
      </c>
      <c r="B88" s="259" t="s">
        <v>750</v>
      </c>
      <c r="C88" s="260">
        <v>7625</v>
      </c>
    </row>
    <row r="89" spans="1:3">
      <c r="A89" s="258" t="s">
        <v>401</v>
      </c>
      <c r="B89" s="259" t="s">
        <v>752</v>
      </c>
      <c r="C89" s="260">
        <v>43969</v>
      </c>
    </row>
    <row r="90" spans="1:3">
      <c r="A90" s="258" t="s">
        <v>384</v>
      </c>
      <c r="B90" s="259" t="s">
        <v>753</v>
      </c>
      <c r="C90" s="260">
        <v>27148</v>
      </c>
    </row>
    <row r="91" spans="1:3">
      <c r="A91" s="258" t="s">
        <v>386</v>
      </c>
      <c r="B91" s="259" t="s">
        <v>754</v>
      </c>
      <c r="C91" s="260">
        <v>0</v>
      </c>
    </row>
    <row r="92" spans="1:3">
      <c r="A92" s="258" t="s">
        <v>352</v>
      </c>
      <c r="B92" s="259" t="s">
        <v>757</v>
      </c>
      <c r="C92" s="260">
        <v>260380</v>
      </c>
    </row>
    <row r="93" spans="1:3">
      <c r="A93" s="258" t="s">
        <v>67</v>
      </c>
      <c r="B93" s="259" t="s">
        <v>759</v>
      </c>
      <c r="C93" s="260">
        <v>10658</v>
      </c>
    </row>
    <row r="94" spans="1:3">
      <c r="A94" s="258" t="s">
        <v>370</v>
      </c>
      <c r="B94" s="259" t="s">
        <v>765</v>
      </c>
      <c r="C94" s="260">
        <v>376944</v>
      </c>
    </row>
    <row r="95" spans="1:3">
      <c r="A95" s="258" t="s">
        <v>374</v>
      </c>
      <c r="B95" s="259" t="s">
        <v>767</v>
      </c>
      <c r="C95" s="260">
        <v>16872</v>
      </c>
    </row>
    <row r="96" spans="1:3">
      <c r="A96" s="258" t="s">
        <v>376</v>
      </c>
      <c r="B96" s="259" t="s">
        <v>918</v>
      </c>
      <c r="C96" s="260">
        <v>0</v>
      </c>
    </row>
    <row r="97" spans="1:3">
      <c r="A97" s="258" t="s">
        <v>382</v>
      </c>
      <c r="B97" s="259" t="s">
        <v>770</v>
      </c>
      <c r="C97" s="260">
        <v>13220</v>
      </c>
    </row>
    <row r="98" spans="1:3">
      <c r="A98" s="258" t="s">
        <v>270</v>
      </c>
      <c r="B98" s="259" t="s">
        <v>771</v>
      </c>
      <c r="C98" s="260">
        <v>48038</v>
      </c>
    </row>
    <row r="99" spans="1:3">
      <c r="A99" s="258" t="s">
        <v>546</v>
      </c>
      <c r="B99" s="259" t="s">
        <v>992</v>
      </c>
      <c r="C99" s="260">
        <v>6661</v>
      </c>
    </row>
    <row r="100" spans="1:3">
      <c r="A100" s="258" t="s">
        <v>549</v>
      </c>
      <c r="B100" s="259" t="s">
        <v>775</v>
      </c>
      <c r="C100" s="260">
        <v>1291358</v>
      </c>
    </row>
    <row r="101" spans="1:3">
      <c r="A101" s="258" t="s">
        <v>551</v>
      </c>
      <c r="B101" s="259" t="s">
        <v>857</v>
      </c>
      <c r="C101" s="260">
        <v>123382</v>
      </c>
    </row>
    <row r="102" spans="1:3">
      <c r="A102" s="258" t="s">
        <v>561</v>
      </c>
      <c r="B102" s="259" t="s">
        <v>780</v>
      </c>
      <c r="C102" s="260">
        <v>47490</v>
      </c>
    </row>
    <row r="103" spans="1:3">
      <c r="A103" s="258" t="s">
        <v>563</v>
      </c>
      <c r="B103" s="259" t="s">
        <v>781</v>
      </c>
      <c r="C103" s="260">
        <v>254461</v>
      </c>
    </row>
    <row r="104" spans="1:3">
      <c r="A104" s="258" t="s">
        <v>79</v>
      </c>
      <c r="B104" s="259" t="s">
        <v>783</v>
      </c>
      <c r="C104" s="260">
        <v>208462</v>
      </c>
    </row>
    <row r="105" spans="1:3">
      <c r="A105" s="258" t="s">
        <v>81</v>
      </c>
      <c r="B105" s="259" t="s">
        <v>784</v>
      </c>
      <c r="C105" s="260">
        <v>163506</v>
      </c>
    </row>
    <row r="106" spans="1:3">
      <c r="A106" s="258" t="s">
        <v>567</v>
      </c>
      <c r="B106" s="259" t="s">
        <v>787</v>
      </c>
      <c r="C106" s="260">
        <v>104132</v>
      </c>
    </row>
    <row r="107" spans="1:3">
      <c r="A107" s="258" t="s">
        <v>573</v>
      </c>
      <c r="B107" s="259" t="s">
        <v>790</v>
      </c>
      <c r="C107" s="260">
        <v>51015</v>
      </c>
    </row>
    <row r="108" spans="1:3">
      <c r="A108" s="258" t="s">
        <v>57</v>
      </c>
      <c r="B108" s="259" t="s">
        <v>792</v>
      </c>
      <c r="C108" s="260">
        <v>105450</v>
      </c>
    </row>
    <row r="109" spans="1:3">
      <c r="A109" s="258" t="s">
        <v>65</v>
      </c>
      <c r="B109" s="259" t="s">
        <v>994</v>
      </c>
      <c r="C109" s="260">
        <v>3637</v>
      </c>
    </row>
    <row r="110" spans="1:3">
      <c r="A110" s="258" t="s">
        <v>7</v>
      </c>
      <c r="B110" s="259" t="s">
        <v>797</v>
      </c>
      <c r="C110" s="260">
        <v>6398</v>
      </c>
    </row>
    <row r="111" spans="1:3">
      <c r="A111" s="258" t="s">
        <v>954</v>
      </c>
      <c r="B111" s="259" t="s">
        <v>1524</v>
      </c>
      <c r="C111" s="260">
        <v>19618</v>
      </c>
    </row>
    <row r="112" spans="1:3">
      <c r="A112" s="258" t="s">
        <v>934</v>
      </c>
      <c r="B112" s="259" t="s">
        <v>1525</v>
      </c>
      <c r="C112" s="260">
        <v>0</v>
      </c>
    </row>
    <row r="113" spans="1:3">
      <c r="A113" s="258" t="s">
        <v>933</v>
      </c>
      <c r="B113" s="259" t="s">
        <v>1526</v>
      </c>
      <c r="C113" s="260">
        <v>2268</v>
      </c>
    </row>
    <row r="114" spans="1:3">
      <c r="A114" s="258" t="s">
        <v>246</v>
      </c>
      <c r="B114" s="259" t="s">
        <v>995</v>
      </c>
      <c r="C114" s="260">
        <v>127706</v>
      </c>
    </row>
    <row r="115" spans="1:3">
      <c r="A115" s="258" t="s">
        <v>250</v>
      </c>
      <c r="B115" s="259" t="s">
        <v>801</v>
      </c>
      <c r="C115" s="260">
        <v>391742</v>
      </c>
    </row>
    <row r="116" spans="1:3">
      <c r="A116" s="258" t="s">
        <v>254</v>
      </c>
      <c r="B116" s="259" t="s">
        <v>803</v>
      </c>
      <c r="C116" s="260">
        <v>325421</v>
      </c>
    </row>
    <row r="117" spans="1:3">
      <c r="A117" s="258" t="s">
        <v>262</v>
      </c>
      <c r="B117" s="259" t="s">
        <v>807</v>
      </c>
      <c r="C117" s="260">
        <v>0</v>
      </c>
    </row>
    <row r="118" spans="1:3">
      <c r="A118" s="258" t="s">
        <v>566</v>
      </c>
      <c r="B118" s="259" t="s">
        <v>811</v>
      </c>
      <c r="C118" s="260">
        <v>28433</v>
      </c>
    </row>
    <row r="119" spans="1:3">
      <c r="A119" s="258" t="s">
        <v>189</v>
      </c>
      <c r="B119" s="259" t="s">
        <v>812</v>
      </c>
      <c r="C119" s="260">
        <v>81612</v>
      </c>
    </row>
    <row r="120" spans="1:3">
      <c r="A120" s="258" t="s">
        <v>193</v>
      </c>
      <c r="B120" s="259" t="s">
        <v>814</v>
      </c>
      <c r="C120" s="260">
        <v>71308</v>
      </c>
    </row>
    <row r="121" spans="1:3">
      <c r="A121" s="258" t="s">
        <v>280</v>
      </c>
      <c r="B121" s="259" t="s">
        <v>815</v>
      </c>
      <c r="C121" s="260">
        <v>274117</v>
      </c>
    </row>
    <row r="122" spans="1:3">
      <c r="A122" s="258" t="s">
        <v>501</v>
      </c>
      <c r="B122" s="259" t="s">
        <v>816</v>
      </c>
      <c r="C122" s="260">
        <v>23175</v>
      </c>
    </row>
    <row r="123" spans="1:3">
      <c r="A123" s="258" t="s">
        <v>587</v>
      </c>
      <c r="B123" s="259" t="s">
        <v>871</v>
      </c>
      <c r="C123" s="260">
        <v>0</v>
      </c>
    </row>
    <row r="124" spans="1:3">
      <c r="A124" s="258" t="s">
        <v>509</v>
      </c>
      <c r="B124" s="259" t="s">
        <v>819</v>
      </c>
      <c r="C124" s="260">
        <v>24704</v>
      </c>
    </row>
    <row r="125" spans="1:3">
      <c r="A125" s="258" t="s">
        <v>34</v>
      </c>
      <c r="B125" s="259" t="s">
        <v>822</v>
      </c>
      <c r="C125" s="260">
        <v>107310</v>
      </c>
    </row>
    <row r="126" spans="1:3">
      <c r="A126" s="258" t="s">
        <v>485</v>
      </c>
      <c r="B126" s="259" t="s">
        <v>825</v>
      </c>
      <c r="C126" s="260">
        <v>26377</v>
      </c>
    </row>
    <row r="127" spans="1:3">
      <c r="A127" s="258" t="s">
        <v>298</v>
      </c>
      <c r="B127" s="259" t="s">
        <v>999</v>
      </c>
      <c r="C127" s="260">
        <v>12995</v>
      </c>
    </row>
    <row r="128" spans="1:3">
      <c r="A128" s="258" t="s">
        <v>300</v>
      </c>
      <c r="B128" s="259" t="s">
        <v>826</v>
      </c>
      <c r="C128" s="260">
        <v>3929</v>
      </c>
    </row>
    <row r="129" spans="1:3">
      <c r="A129" s="258" t="s">
        <v>302</v>
      </c>
      <c r="B129" s="259" t="s">
        <v>827</v>
      </c>
      <c r="C129" s="260">
        <v>15105</v>
      </c>
    </row>
    <row r="130" spans="1:3">
      <c r="A130" s="258" t="s">
        <v>312</v>
      </c>
      <c r="B130" s="259" t="s">
        <v>831</v>
      </c>
      <c r="C130" s="260">
        <v>17723</v>
      </c>
    </row>
    <row r="131" spans="1:3">
      <c r="A131" s="258" t="s">
        <v>177</v>
      </c>
      <c r="B131" s="259" t="s">
        <v>833</v>
      </c>
      <c r="C131" s="260">
        <v>93504</v>
      </c>
    </row>
    <row r="132" spans="1:3">
      <c r="A132" s="258" t="s">
        <v>179</v>
      </c>
      <c r="B132" s="259" t="s">
        <v>834</v>
      </c>
      <c r="C132" s="260">
        <v>58445</v>
      </c>
    </row>
    <row r="133" spans="1:3">
      <c r="A133" s="261" t="s">
        <v>181</v>
      </c>
      <c r="B133" s="262" t="s">
        <v>835</v>
      </c>
      <c r="C133" s="263">
        <v>102373</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8558E-D58F-4900-830C-CEDEB52BFA7A}">
  <sheetPr>
    <tabColor rgb="FF92D050"/>
  </sheetPr>
  <dimension ref="A1:G313"/>
  <sheetViews>
    <sheetView workbookViewId="0">
      <selection activeCell="D326" sqref="D326"/>
    </sheetView>
  </sheetViews>
  <sheetFormatPr defaultRowHeight="12.75"/>
  <cols>
    <col min="1" max="1" width="7.85546875" bestFit="1" customWidth="1"/>
    <col min="2" max="2" width="26.7109375" bestFit="1" customWidth="1"/>
    <col min="3" max="3" width="15" style="23" bestFit="1" customWidth="1"/>
    <col min="4" max="4" width="12.5703125" bestFit="1" customWidth="1"/>
    <col min="5" max="5" width="13.85546875" bestFit="1" customWidth="1"/>
    <col min="6" max="7" width="12.5703125" bestFit="1" customWidth="1"/>
  </cols>
  <sheetData>
    <row r="1" spans="1:7" ht="16.5">
      <c r="A1" s="160" t="s">
        <v>867</v>
      </c>
      <c r="B1" s="160" t="s">
        <v>171</v>
      </c>
      <c r="C1" s="160" t="s">
        <v>1556</v>
      </c>
      <c r="D1" s="222" t="s">
        <v>1557</v>
      </c>
      <c r="E1" s="160" t="s">
        <v>1558</v>
      </c>
      <c r="F1" s="160" t="s">
        <v>1559</v>
      </c>
      <c r="G1" s="160" t="s">
        <v>1560</v>
      </c>
    </row>
    <row r="2" spans="1:7" ht="16.5">
      <c r="A2" s="227" t="s">
        <v>51</v>
      </c>
      <c r="B2" s="227" t="s">
        <v>588</v>
      </c>
      <c r="C2" s="228">
        <v>5477481.7399999993</v>
      </c>
      <c r="D2" s="228">
        <v>185476.3</v>
      </c>
      <c r="E2" s="228">
        <v>820148.17</v>
      </c>
      <c r="F2" s="116"/>
      <c r="G2" s="116"/>
    </row>
    <row r="3" spans="1:7" ht="16.5">
      <c r="A3" s="227" t="s">
        <v>53</v>
      </c>
      <c r="B3" s="227" t="s">
        <v>589</v>
      </c>
      <c r="C3" s="228">
        <v>1017731.9</v>
      </c>
      <c r="D3" s="228">
        <v>27756</v>
      </c>
      <c r="E3" s="228">
        <v>133679</v>
      </c>
      <c r="F3" s="116"/>
      <c r="G3" s="116"/>
    </row>
    <row r="4" spans="1:7" ht="16.5">
      <c r="A4" s="227" t="s">
        <v>55</v>
      </c>
      <c r="B4" s="227" t="s">
        <v>590</v>
      </c>
      <c r="C4" s="228">
        <v>139830.91999999998</v>
      </c>
      <c r="D4" s="228">
        <v>5187.22</v>
      </c>
      <c r="E4" s="228">
        <v>20367</v>
      </c>
      <c r="F4" s="116"/>
      <c r="G4" s="116"/>
    </row>
    <row r="5" spans="1:7" ht="16.5">
      <c r="A5" s="227" t="s">
        <v>182</v>
      </c>
      <c r="B5" s="227" t="s">
        <v>591</v>
      </c>
      <c r="C5" s="228">
        <v>4317120.1000000006</v>
      </c>
      <c r="D5" s="228">
        <v>121473.68</v>
      </c>
      <c r="E5" s="228">
        <v>547624.13</v>
      </c>
      <c r="F5" s="116"/>
      <c r="G5" s="116"/>
    </row>
    <row r="6" spans="1:7" ht="16.5">
      <c r="A6" s="227" t="s">
        <v>471</v>
      </c>
      <c r="B6" s="227" t="s">
        <v>592</v>
      </c>
      <c r="C6" s="228">
        <v>12316607.890000001</v>
      </c>
      <c r="D6" s="228">
        <v>54610.979999999996</v>
      </c>
      <c r="E6" s="228">
        <v>1040474.84</v>
      </c>
      <c r="F6" s="116"/>
      <c r="G6" s="116"/>
    </row>
    <row r="7" spans="1:7" ht="16.5">
      <c r="A7" s="227" t="s">
        <v>473</v>
      </c>
      <c r="B7" s="227" t="s">
        <v>593</v>
      </c>
      <c r="C7" s="228">
        <v>890404.38000000012</v>
      </c>
      <c r="D7" s="116"/>
      <c r="E7" s="228">
        <v>138600.55000000002</v>
      </c>
      <c r="F7" s="116"/>
      <c r="G7" s="116"/>
    </row>
    <row r="8" spans="1:7" ht="16.5">
      <c r="A8" s="227" t="s">
        <v>474</v>
      </c>
      <c r="B8" s="227" t="s">
        <v>594</v>
      </c>
      <c r="C8" s="228">
        <v>33507582.359999996</v>
      </c>
      <c r="D8" s="116"/>
      <c r="E8" s="228">
        <v>3148507.4099999997</v>
      </c>
      <c r="F8" s="116"/>
      <c r="G8" s="116"/>
    </row>
    <row r="9" spans="1:7" ht="16.5">
      <c r="A9" s="227" t="s">
        <v>476</v>
      </c>
      <c r="B9" s="227" t="s">
        <v>1787</v>
      </c>
      <c r="C9" s="228">
        <v>8504005.0700000003</v>
      </c>
      <c r="D9" s="228">
        <v>175941</v>
      </c>
      <c r="E9" s="228">
        <v>864323.71</v>
      </c>
      <c r="F9" s="116"/>
      <c r="G9" s="116"/>
    </row>
    <row r="10" spans="1:7" ht="16.5">
      <c r="A10" s="227" t="s">
        <v>477</v>
      </c>
      <c r="B10" s="227" t="s">
        <v>596</v>
      </c>
      <c r="C10" s="228">
        <v>22440777.399999999</v>
      </c>
      <c r="D10" s="228">
        <v>188204.25</v>
      </c>
      <c r="E10" s="228">
        <v>2479369.5299999998</v>
      </c>
      <c r="F10" s="116"/>
      <c r="G10" s="116"/>
    </row>
    <row r="11" spans="1:7" ht="16.5">
      <c r="A11" s="227" t="s">
        <v>195</v>
      </c>
      <c r="B11" s="227" t="s">
        <v>597</v>
      </c>
      <c r="C11" s="228">
        <v>51417923.07</v>
      </c>
      <c r="D11" s="228">
        <v>413970.52999999997</v>
      </c>
      <c r="E11" s="228">
        <v>4553719.8699999992</v>
      </c>
      <c r="F11" s="116"/>
      <c r="G11" s="116"/>
    </row>
    <row r="12" spans="1:7" ht="16.5">
      <c r="A12" s="227" t="s">
        <v>197</v>
      </c>
      <c r="B12" s="227" t="s">
        <v>598</v>
      </c>
      <c r="C12" s="228">
        <v>28538567.190000005</v>
      </c>
      <c r="D12" s="116"/>
      <c r="E12" s="228">
        <v>2483263.69</v>
      </c>
      <c r="F12" s="116"/>
      <c r="G12" s="116"/>
    </row>
    <row r="13" spans="1:7" ht="16.5">
      <c r="A13" s="227" t="s">
        <v>201</v>
      </c>
      <c r="B13" s="227" t="s">
        <v>600</v>
      </c>
      <c r="C13" s="228">
        <v>36160201.279999986</v>
      </c>
      <c r="D13" s="228">
        <v>986486</v>
      </c>
      <c r="E13" s="228">
        <v>3856174.0399999991</v>
      </c>
      <c r="F13" s="116"/>
      <c r="G13" s="228">
        <v>60631.240000000005</v>
      </c>
    </row>
    <row r="14" spans="1:7" ht="16.5">
      <c r="A14" s="227" t="s">
        <v>203</v>
      </c>
      <c r="B14" s="227" t="s">
        <v>601</v>
      </c>
      <c r="C14" s="228">
        <v>175546.63</v>
      </c>
      <c r="D14" s="116"/>
      <c r="E14" s="116"/>
      <c r="F14" s="116"/>
      <c r="G14" s="116"/>
    </row>
    <row r="15" spans="1:7" ht="16.5">
      <c r="A15" s="227" t="s">
        <v>14</v>
      </c>
      <c r="B15" s="227" t="s">
        <v>602</v>
      </c>
      <c r="C15" s="228">
        <v>5209234.9400000004</v>
      </c>
      <c r="D15" s="228">
        <v>113192.38999999998</v>
      </c>
      <c r="E15" s="228">
        <v>504913.52</v>
      </c>
      <c r="F15" s="116"/>
      <c r="G15" s="116"/>
    </row>
    <row r="16" spans="1:7" ht="16.5">
      <c r="A16" s="227" t="s">
        <v>16</v>
      </c>
      <c r="B16" s="227" t="s">
        <v>603</v>
      </c>
      <c r="C16" s="228">
        <v>346238.33999999997</v>
      </c>
      <c r="D16" s="116"/>
      <c r="E16" s="228">
        <v>31986.39</v>
      </c>
      <c r="F16" s="116"/>
      <c r="G16" s="116"/>
    </row>
    <row r="17" spans="1:7" ht="16.5">
      <c r="A17" s="227" t="s">
        <v>524</v>
      </c>
      <c r="B17" s="227" t="s">
        <v>604</v>
      </c>
      <c r="C17" s="228">
        <v>10066719.169999998</v>
      </c>
      <c r="D17" s="228">
        <v>56513.3</v>
      </c>
      <c r="E17" s="228">
        <v>912443.25</v>
      </c>
      <c r="F17" s="116"/>
      <c r="G17" s="228">
        <v>563.54</v>
      </c>
    </row>
    <row r="18" spans="1:7" ht="16.5">
      <c r="A18" s="227" t="s">
        <v>526</v>
      </c>
      <c r="B18" s="227" t="s">
        <v>605</v>
      </c>
      <c r="C18" s="228">
        <v>1282912.3999999999</v>
      </c>
      <c r="D18" s="228">
        <v>50976.649999999994</v>
      </c>
      <c r="E18" s="228">
        <v>224663.54</v>
      </c>
      <c r="F18" s="116"/>
      <c r="G18" s="116"/>
    </row>
    <row r="19" spans="1:7" ht="16.5">
      <c r="A19" s="227" t="s">
        <v>528</v>
      </c>
      <c r="B19" s="227" t="s">
        <v>606</v>
      </c>
      <c r="C19" s="228">
        <v>819772.22</v>
      </c>
      <c r="D19" s="228">
        <v>45940.01</v>
      </c>
      <c r="E19" s="228">
        <v>174308.56</v>
      </c>
      <c r="F19" s="116"/>
      <c r="G19" s="116"/>
    </row>
    <row r="20" spans="1:7" ht="16.5">
      <c r="A20" s="227" t="s">
        <v>530</v>
      </c>
      <c r="B20" s="227" t="s">
        <v>607</v>
      </c>
      <c r="C20" s="228">
        <v>102377.48</v>
      </c>
      <c r="D20" s="228">
        <v>3612.47</v>
      </c>
      <c r="E20" s="228">
        <v>21119.100000000002</v>
      </c>
      <c r="F20" s="116"/>
      <c r="G20" s="116"/>
    </row>
    <row r="21" spans="1:7" ht="16.5">
      <c r="A21" s="227" t="s">
        <v>532</v>
      </c>
      <c r="B21" s="227" t="s">
        <v>1794</v>
      </c>
      <c r="C21" s="228">
        <v>8008364.3200000012</v>
      </c>
      <c r="D21" s="228">
        <v>178687.69</v>
      </c>
      <c r="E21" s="228">
        <v>778625.09000000008</v>
      </c>
      <c r="F21" s="116"/>
      <c r="G21" s="116"/>
    </row>
    <row r="22" spans="1:7" ht="16.5">
      <c r="A22" s="227" t="s">
        <v>534</v>
      </c>
      <c r="B22" s="227" t="s">
        <v>609</v>
      </c>
      <c r="C22" s="228">
        <v>12067826.23</v>
      </c>
      <c r="D22" s="228">
        <v>136884.41999999998</v>
      </c>
      <c r="E22" s="228">
        <v>1041638.34</v>
      </c>
      <c r="F22" s="116"/>
      <c r="G22" s="116"/>
    </row>
    <row r="23" spans="1:7" ht="16.5">
      <c r="A23" s="227" t="s">
        <v>536</v>
      </c>
      <c r="B23" s="227" t="s">
        <v>610</v>
      </c>
      <c r="C23" s="228">
        <v>1207556.0899999999</v>
      </c>
      <c r="D23" s="228">
        <v>26294.09</v>
      </c>
      <c r="E23" s="228">
        <v>114437.40000000001</v>
      </c>
      <c r="F23" s="116"/>
      <c r="G23" s="228">
        <v>87308.13</v>
      </c>
    </row>
    <row r="24" spans="1:7" ht="16.5">
      <c r="A24" s="227" t="s">
        <v>538</v>
      </c>
      <c r="B24" s="227" t="s">
        <v>847</v>
      </c>
      <c r="C24" s="228">
        <v>226291.05</v>
      </c>
      <c r="D24" s="228">
        <v>10105.49</v>
      </c>
      <c r="E24" s="228">
        <v>55931.619999999995</v>
      </c>
      <c r="F24" s="116"/>
      <c r="G24" s="116"/>
    </row>
    <row r="25" spans="1:7" ht="16.5">
      <c r="A25" s="227" t="s">
        <v>151</v>
      </c>
      <c r="B25" s="227" t="s">
        <v>611</v>
      </c>
      <c r="C25" s="228">
        <v>1766488.6300000001</v>
      </c>
      <c r="D25" s="228">
        <v>64127.15</v>
      </c>
      <c r="E25" s="228">
        <v>299640.09000000003</v>
      </c>
      <c r="F25" s="116"/>
      <c r="G25" s="116"/>
    </row>
    <row r="26" spans="1:7" ht="16.5">
      <c r="A26" s="227" t="s">
        <v>153</v>
      </c>
      <c r="B26" s="227" t="s">
        <v>612</v>
      </c>
      <c r="C26" s="228">
        <v>2443266.33</v>
      </c>
      <c r="D26" s="228">
        <v>78631</v>
      </c>
      <c r="E26" s="228">
        <v>314820.84999999998</v>
      </c>
      <c r="F26" s="116"/>
      <c r="G26" s="116"/>
    </row>
    <row r="27" spans="1:7" ht="16.5">
      <c r="A27" s="227" t="s">
        <v>155</v>
      </c>
      <c r="B27" s="227" t="s">
        <v>613</v>
      </c>
      <c r="C27" s="228">
        <v>2773790.68</v>
      </c>
      <c r="D27" s="228">
        <v>59515.35</v>
      </c>
      <c r="E27" s="228">
        <v>269866</v>
      </c>
      <c r="F27" s="116"/>
      <c r="G27" s="116"/>
    </row>
    <row r="28" spans="1:7" ht="16.5">
      <c r="A28" s="227" t="s">
        <v>1050</v>
      </c>
      <c r="B28" s="227" t="s">
        <v>1507</v>
      </c>
      <c r="C28" s="228">
        <v>542833.35999999987</v>
      </c>
      <c r="D28" s="228">
        <v>5971.3</v>
      </c>
      <c r="E28" s="228">
        <v>71802.67</v>
      </c>
      <c r="F28" s="116"/>
      <c r="G28" s="116"/>
    </row>
    <row r="29" spans="1:7" ht="16.5">
      <c r="A29" s="227" t="s">
        <v>157</v>
      </c>
      <c r="B29" s="227" t="s">
        <v>899</v>
      </c>
      <c r="C29" s="228">
        <v>71552.3</v>
      </c>
      <c r="D29" s="116"/>
      <c r="E29" s="116"/>
      <c r="F29" s="116"/>
      <c r="G29" s="116"/>
    </row>
    <row r="30" spans="1:7" ht="16.5">
      <c r="A30" s="227" t="s">
        <v>281</v>
      </c>
      <c r="B30" s="227" t="s">
        <v>614</v>
      </c>
      <c r="C30" s="228">
        <v>26522435.860000003</v>
      </c>
      <c r="D30" s="116"/>
      <c r="E30" s="228">
        <v>2614401.9</v>
      </c>
      <c r="F30" s="116"/>
      <c r="G30" s="228">
        <v>506420.72</v>
      </c>
    </row>
    <row r="31" spans="1:7" ht="16.5">
      <c r="A31" s="227" t="s">
        <v>283</v>
      </c>
      <c r="B31" s="227" t="s">
        <v>615</v>
      </c>
      <c r="C31" s="228">
        <v>29149668.909999996</v>
      </c>
      <c r="D31" s="228">
        <v>674911.34</v>
      </c>
      <c r="E31" s="228">
        <v>2867742</v>
      </c>
      <c r="F31" s="116"/>
      <c r="G31" s="116"/>
    </row>
    <row r="32" spans="1:7" ht="16.5">
      <c r="A32" s="227" t="s">
        <v>285</v>
      </c>
      <c r="B32" s="227" t="s">
        <v>616</v>
      </c>
      <c r="C32" s="228">
        <v>6556191.9800000004</v>
      </c>
      <c r="D32" s="228">
        <v>412.6</v>
      </c>
      <c r="E32" s="228">
        <v>856792.44</v>
      </c>
      <c r="F32" s="116"/>
      <c r="G32" s="116"/>
    </row>
    <row r="33" spans="1:7" ht="16.5">
      <c r="A33" s="227" t="s">
        <v>287</v>
      </c>
      <c r="B33" s="227" t="s">
        <v>617</v>
      </c>
      <c r="C33" s="228">
        <v>6044725.2100000009</v>
      </c>
      <c r="D33" s="228">
        <v>148557.50000000003</v>
      </c>
      <c r="E33" s="228">
        <v>611137.75999999989</v>
      </c>
      <c r="F33" s="116"/>
      <c r="G33" s="116"/>
    </row>
    <row r="34" spans="1:7" ht="16.5">
      <c r="A34" s="227" t="s">
        <v>289</v>
      </c>
      <c r="B34" s="227" t="s">
        <v>618</v>
      </c>
      <c r="C34" s="228">
        <v>10620215.27</v>
      </c>
      <c r="D34" s="116"/>
      <c r="E34" s="228">
        <v>961973.85</v>
      </c>
      <c r="F34" s="116"/>
      <c r="G34" s="116"/>
    </row>
    <row r="35" spans="1:7" ht="16.5">
      <c r="A35" s="227" t="s">
        <v>291</v>
      </c>
      <c r="B35" s="227" t="s">
        <v>619</v>
      </c>
      <c r="C35" s="228">
        <v>1141477.8399999999</v>
      </c>
      <c r="D35" s="228">
        <v>25342.61</v>
      </c>
      <c r="E35" s="228">
        <v>173821.97999999998</v>
      </c>
      <c r="F35" s="116"/>
      <c r="G35" s="116"/>
    </row>
    <row r="36" spans="1:7" ht="16.5">
      <c r="A36" s="227" t="s">
        <v>1013</v>
      </c>
      <c r="B36" s="227" t="s">
        <v>1791</v>
      </c>
      <c r="C36" s="228">
        <v>648737.93000000005</v>
      </c>
      <c r="D36" s="116"/>
      <c r="E36" s="116"/>
      <c r="F36" s="116"/>
      <c r="G36" s="116"/>
    </row>
    <row r="37" spans="1:7" ht="16.5">
      <c r="A37" s="227" t="s">
        <v>19</v>
      </c>
      <c r="B37" s="227" t="s">
        <v>620</v>
      </c>
      <c r="C37" s="228">
        <v>1768548.1899999997</v>
      </c>
      <c r="D37" s="228">
        <v>41528.910000000003</v>
      </c>
      <c r="E37" s="228">
        <v>223033.08999999997</v>
      </c>
      <c r="F37" s="116"/>
      <c r="G37" s="116"/>
    </row>
    <row r="38" spans="1:7" ht="16.5">
      <c r="A38" s="227" t="s">
        <v>21</v>
      </c>
      <c r="B38" s="227" t="s">
        <v>621</v>
      </c>
      <c r="C38" s="228">
        <v>3950554.4</v>
      </c>
      <c r="D38" s="228">
        <v>9735.6</v>
      </c>
      <c r="E38" s="228">
        <v>573238.45000000007</v>
      </c>
      <c r="F38" s="116"/>
      <c r="G38" s="116"/>
    </row>
    <row r="39" spans="1:7" ht="16.5">
      <c r="A39" s="227" t="s">
        <v>23</v>
      </c>
      <c r="B39" s="227" t="s">
        <v>622</v>
      </c>
      <c r="C39" s="228">
        <v>1298170.51</v>
      </c>
      <c r="D39" s="116"/>
      <c r="E39" s="228">
        <v>193115.9</v>
      </c>
      <c r="F39" s="116"/>
      <c r="G39" s="116"/>
    </row>
    <row r="40" spans="1:7" ht="16.5">
      <c r="A40" s="227" t="s">
        <v>25</v>
      </c>
      <c r="B40" s="227" t="s">
        <v>623</v>
      </c>
      <c r="C40" s="228">
        <v>27080092.959999997</v>
      </c>
      <c r="D40" s="228">
        <v>652994</v>
      </c>
      <c r="E40" s="228">
        <v>2818997.2299999995</v>
      </c>
      <c r="F40" s="228">
        <v>1925809.2000000004</v>
      </c>
      <c r="G40" s="228">
        <v>1193295</v>
      </c>
    </row>
    <row r="41" spans="1:7" ht="16.5">
      <c r="A41" s="227" t="s">
        <v>27</v>
      </c>
      <c r="B41" s="227" t="s">
        <v>624</v>
      </c>
      <c r="C41" s="228">
        <v>753649</v>
      </c>
      <c r="D41" s="116"/>
      <c r="E41" s="228">
        <v>104860.81</v>
      </c>
      <c r="F41" s="116"/>
      <c r="G41" s="116"/>
    </row>
    <row r="42" spans="1:7" ht="16.5">
      <c r="A42" s="227" t="s">
        <v>29</v>
      </c>
      <c r="B42" s="227" t="s">
        <v>625</v>
      </c>
      <c r="C42" s="228">
        <v>2619941.5000000005</v>
      </c>
      <c r="D42" s="228">
        <v>97949.88</v>
      </c>
      <c r="E42" s="228">
        <v>344964.64</v>
      </c>
      <c r="F42" s="116"/>
      <c r="G42" s="116"/>
    </row>
    <row r="43" spans="1:7" ht="16.5">
      <c r="A43" s="227" t="s">
        <v>148</v>
      </c>
      <c r="B43" s="227" t="s">
        <v>626</v>
      </c>
      <c r="C43" s="228">
        <v>229095.73</v>
      </c>
      <c r="D43" s="228">
        <v>7975</v>
      </c>
      <c r="E43" s="228">
        <v>35440</v>
      </c>
      <c r="F43" s="116"/>
      <c r="G43" s="116"/>
    </row>
    <row r="44" spans="1:7" ht="16.5">
      <c r="A44" s="227" t="s">
        <v>150</v>
      </c>
      <c r="B44" s="227" t="s">
        <v>1800</v>
      </c>
      <c r="C44" s="228">
        <v>158925.20000000001</v>
      </c>
      <c r="D44" s="228">
        <v>5631</v>
      </c>
      <c r="E44" s="228">
        <v>28621</v>
      </c>
      <c r="F44" s="116"/>
      <c r="G44" s="228">
        <v>13774</v>
      </c>
    </row>
    <row r="45" spans="1:7" ht="16.5">
      <c r="A45" s="227" t="s">
        <v>133</v>
      </c>
      <c r="B45" s="227" t="s">
        <v>1802</v>
      </c>
      <c r="C45" s="228">
        <v>1158236.82</v>
      </c>
      <c r="D45" s="228">
        <v>50938.65</v>
      </c>
      <c r="E45" s="228">
        <v>129955.54</v>
      </c>
      <c r="F45" s="116"/>
      <c r="G45" s="116"/>
    </row>
    <row r="46" spans="1:7" ht="16.5">
      <c r="A46" s="227" t="s">
        <v>134</v>
      </c>
      <c r="B46" s="227" t="s">
        <v>627</v>
      </c>
      <c r="C46" s="228">
        <v>2400556.1800000002</v>
      </c>
      <c r="D46" s="228">
        <v>90472</v>
      </c>
      <c r="E46" s="228">
        <v>398785.43</v>
      </c>
      <c r="F46" s="116"/>
      <c r="G46" s="116"/>
    </row>
    <row r="47" spans="1:7" ht="16.5">
      <c r="A47" s="227" t="s">
        <v>136</v>
      </c>
      <c r="B47" s="227" t="s">
        <v>628</v>
      </c>
      <c r="C47" s="228">
        <v>1376504.9299999997</v>
      </c>
      <c r="D47" s="228">
        <v>28322</v>
      </c>
      <c r="E47" s="228">
        <v>167182</v>
      </c>
      <c r="F47" s="116"/>
      <c r="G47" s="116"/>
    </row>
    <row r="48" spans="1:7" ht="16.5">
      <c r="A48" s="227" t="s">
        <v>138</v>
      </c>
      <c r="B48" s="227" t="s">
        <v>629</v>
      </c>
      <c r="C48" s="228">
        <v>646881.6</v>
      </c>
      <c r="D48" s="116"/>
      <c r="E48" s="228">
        <v>80221</v>
      </c>
      <c r="F48" s="116"/>
      <c r="G48" s="116"/>
    </row>
    <row r="49" spans="1:7" ht="16.5">
      <c r="A49" s="227" t="s">
        <v>140</v>
      </c>
      <c r="B49" s="227" t="s">
        <v>630</v>
      </c>
      <c r="C49" s="228">
        <v>252323.7</v>
      </c>
      <c r="D49" s="116"/>
      <c r="E49" s="228">
        <v>43255</v>
      </c>
      <c r="F49" s="116"/>
      <c r="G49" s="116"/>
    </row>
    <row r="50" spans="1:7" ht="16.5">
      <c r="A50" s="227" t="s">
        <v>142</v>
      </c>
      <c r="B50" s="227" t="s">
        <v>848</v>
      </c>
      <c r="C50" s="228">
        <v>248721.61000000002</v>
      </c>
      <c r="D50" s="116"/>
      <c r="E50" s="228">
        <v>73190.67</v>
      </c>
      <c r="F50" s="116"/>
      <c r="G50" s="116"/>
    </row>
    <row r="51" spans="1:7" ht="16.5">
      <c r="A51" s="227" t="s">
        <v>143</v>
      </c>
      <c r="B51" s="227" t="s">
        <v>631</v>
      </c>
      <c r="C51" s="228">
        <v>2272115.4800000004</v>
      </c>
      <c r="D51" s="228">
        <v>57220.54</v>
      </c>
      <c r="E51" s="228">
        <v>191114.54</v>
      </c>
      <c r="F51" s="116"/>
      <c r="G51" s="116"/>
    </row>
    <row r="52" spans="1:7" ht="16.5">
      <c r="A52" s="227" t="s">
        <v>12</v>
      </c>
      <c r="B52" s="227" t="s">
        <v>632</v>
      </c>
      <c r="C52" s="228">
        <v>411728.67</v>
      </c>
      <c r="D52" s="116"/>
      <c r="E52" s="228">
        <v>58975.189999999995</v>
      </c>
      <c r="F52" s="116"/>
      <c r="G52" s="116"/>
    </row>
    <row r="53" spans="1:7" ht="16.5">
      <c r="A53" s="227" t="s">
        <v>145</v>
      </c>
      <c r="B53" s="227" t="s">
        <v>633</v>
      </c>
      <c r="C53" s="228">
        <v>184166.95</v>
      </c>
      <c r="D53" s="228">
        <v>3816.75</v>
      </c>
      <c r="E53" s="228">
        <v>17225.45</v>
      </c>
      <c r="F53" s="116"/>
      <c r="G53" s="116"/>
    </row>
    <row r="54" spans="1:7" ht="16.5">
      <c r="A54" s="227" t="s">
        <v>402</v>
      </c>
      <c r="B54" s="227" t="s">
        <v>634</v>
      </c>
      <c r="C54" s="228">
        <v>255586.86</v>
      </c>
      <c r="D54" s="228">
        <v>14718.59</v>
      </c>
      <c r="E54" s="228">
        <v>56090</v>
      </c>
      <c r="F54" s="116"/>
      <c r="G54" s="116"/>
    </row>
    <row r="55" spans="1:7" ht="16.5">
      <c r="A55" s="227" t="s">
        <v>404</v>
      </c>
      <c r="B55" s="227" t="s">
        <v>635</v>
      </c>
      <c r="C55" s="228">
        <v>368249.6999999999</v>
      </c>
      <c r="D55" s="228">
        <v>1006.74</v>
      </c>
      <c r="E55" s="228">
        <v>66549.569999999992</v>
      </c>
      <c r="F55" s="116"/>
      <c r="G55" s="228">
        <v>4475.8100000000004</v>
      </c>
    </row>
    <row r="56" spans="1:7" ht="16.5">
      <c r="A56" s="227" t="s">
        <v>406</v>
      </c>
      <c r="B56" s="227" t="s">
        <v>636</v>
      </c>
      <c r="C56" s="228">
        <v>54187.57</v>
      </c>
      <c r="D56" s="116"/>
      <c r="E56" s="116"/>
      <c r="F56" s="116"/>
      <c r="G56" s="116"/>
    </row>
    <row r="57" spans="1:7" ht="16.5">
      <c r="A57" s="227" t="s">
        <v>224</v>
      </c>
      <c r="B57" s="227" t="s">
        <v>637</v>
      </c>
      <c r="C57" s="228">
        <v>696768.8899999999</v>
      </c>
      <c r="D57" s="228">
        <v>20264.57</v>
      </c>
      <c r="E57" s="228">
        <v>72076.22</v>
      </c>
      <c r="F57" s="116"/>
      <c r="G57" s="116"/>
    </row>
    <row r="58" spans="1:7" ht="16.5">
      <c r="A58" s="227" t="s">
        <v>226</v>
      </c>
      <c r="B58" s="227" t="s">
        <v>638</v>
      </c>
      <c r="C58" s="228">
        <v>799495.05</v>
      </c>
      <c r="D58" s="116"/>
      <c r="E58" s="228">
        <v>92725.99</v>
      </c>
      <c r="F58" s="116"/>
      <c r="G58" s="116"/>
    </row>
    <row r="59" spans="1:7" ht="16.5">
      <c r="A59" s="227" t="s">
        <v>228</v>
      </c>
      <c r="B59" s="227" t="s">
        <v>900</v>
      </c>
      <c r="C59" s="228">
        <v>487656.1</v>
      </c>
      <c r="D59" s="116"/>
      <c r="E59" s="116"/>
      <c r="F59" s="116"/>
      <c r="G59" s="116"/>
    </row>
    <row r="60" spans="1:7" ht="16.5">
      <c r="A60" s="227" t="s">
        <v>355</v>
      </c>
      <c r="B60" s="227" t="s">
        <v>639</v>
      </c>
      <c r="C60" s="228">
        <v>3041796.49</v>
      </c>
      <c r="D60" s="228">
        <v>32723.65</v>
      </c>
      <c r="E60" s="228">
        <v>488660.78</v>
      </c>
      <c r="F60" s="116"/>
      <c r="G60" s="116"/>
    </row>
    <row r="61" spans="1:7" ht="16.5">
      <c r="A61" s="227" t="s">
        <v>357</v>
      </c>
      <c r="B61" s="227" t="s">
        <v>640</v>
      </c>
      <c r="C61" s="228">
        <v>3467677.5700000003</v>
      </c>
      <c r="D61" s="116"/>
      <c r="E61" s="228">
        <v>231809.76</v>
      </c>
      <c r="F61" s="116"/>
      <c r="G61" s="116"/>
    </row>
    <row r="62" spans="1:7" ht="16.5">
      <c r="A62" s="227" t="s">
        <v>359</v>
      </c>
      <c r="B62" s="227" t="s">
        <v>901</v>
      </c>
      <c r="C62" s="228">
        <v>18932.63</v>
      </c>
      <c r="D62" s="116"/>
      <c r="E62" s="116"/>
      <c r="F62" s="116"/>
      <c r="G62" s="116"/>
    </row>
    <row r="63" spans="1:7" ht="16.5">
      <c r="A63" s="227" t="s">
        <v>230</v>
      </c>
      <c r="B63" s="227" t="s">
        <v>861</v>
      </c>
      <c r="C63" s="228">
        <v>7396616.3499999996</v>
      </c>
      <c r="D63" s="228">
        <v>121760.70999999999</v>
      </c>
      <c r="E63" s="228">
        <v>804829.06</v>
      </c>
      <c r="F63" s="116"/>
      <c r="G63" s="116"/>
    </row>
    <row r="64" spans="1:7" ht="16.5">
      <c r="A64" s="227" t="s">
        <v>231</v>
      </c>
      <c r="B64" s="227" t="s">
        <v>862</v>
      </c>
      <c r="C64" s="228">
        <v>4920804.91</v>
      </c>
      <c r="D64" s="228">
        <v>82501.62999999999</v>
      </c>
      <c r="E64" s="228">
        <v>598262.25</v>
      </c>
      <c r="F64" s="116"/>
      <c r="G64" s="116"/>
    </row>
    <row r="65" spans="1:7" ht="16.5">
      <c r="A65" s="227" t="s">
        <v>232</v>
      </c>
      <c r="B65" s="227" t="s">
        <v>641</v>
      </c>
      <c r="C65" s="228">
        <v>9205465.3100000005</v>
      </c>
      <c r="D65" s="228">
        <v>150570.94</v>
      </c>
      <c r="E65" s="228">
        <v>985823.30999999994</v>
      </c>
      <c r="F65" s="116"/>
      <c r="G65" s="116"/>
    </row>
    <row r="66" spans="1:7" ht="16.5">
      <c r="A66" s="227" t="s">
        <v>234</v>
      </c>
      <c r="B66" s="227" t="s">
        <v>642</v>
      </c>
      <c r="C66" s="228">
        <v>159382.85</v>
      </c>
      <c r="D66" s="228">
        <v>4669</v>
      </c>
      <c r="E66" s="228">
        <v>19372</v>
      </c>
      <c r="F66" s="116"/>
      <c r="G66" s="116"/>
    </row>
    <row r="67" spans="1:7" ht="16.5">
      <c r="A67" s="227" t="s">
        <v>236</v>
      </c>
      <c r="B67" s="227" t="s">
        <v>643</v>
      </c>
      <c r="C67" s="228">
        <v>2850041.13</v>
      </c>
      <c r="D67" s="116"/>
      <c r="E67" s="228">
        <v>240154.49000000002</v>
      </c>
      <c r="F67" s="116"/>
      <c r="G67" s="116"/>
    </row>
    <row r="68" spans="1:7" ht="16.5">
      <c r="A68" s="227" t="s">
        <v>238</v>
      </c>
      <c r="B68" s="227" t="s">
        <v>644</v>
      </c>
      <c r="C68" s="228">
        <v>47781606.589999996</v>
      </c>
      <c r="D68" s="228">
        <v>933579</v>
      </c>
      <c r="E68" s="228">
        <v>4222295</v>
      </c>
      <c r="F68" s="116"/>
      <c r="G68" s="116"/>
    </row>
    <row r="69" spans="1:7" ht="16.5">
      <c r="A69" s="227" t="s">
        <v>240</v>
      </c>
      <c r="B69" s="227" t="s">
        <v>645</v>
      </c>
      <c r="C69" s="228">
        <v>5282332.96</v>
      </c>
      <c r="D69" s="228">
        <v>139594.79999999999</v>
      </c>
      <c r="E69" s="228">
        <v>629313.44999999995</v>
      </c>
      <c r="F69" s="116"/>
      <c r="G69" s="116"/>
    </row>
    <row r="70" spans="1:7" ht="16.5">
      <c r="A70" s="227" t="s">
        <v>409</v>
      </c>
      <c r="B70" s="227" t="s">
        <v>646</v>
      </c>
      <c r="C70" s="228">
        <v>2720996.54</v>
      </c>
      <c r="D70" s="228">
        <v>73941.649999999994</v>
      </c>
      <c r="E70" s="228">
        <v>401490.83000000007</v>
      </c>
      <c r="F70" s="116"/>
      <c r="G70" s="116"/>
    </row>
    <row r="71" spans="1:7" ht="16.5">
      <c r="A71" s="227" t="s">
        <v>411</v>
      </c>
      <c r="B71" s="227" t="s">
        <v>647</v>
      </c>
      <c r="C71" s="228">
        <v>259655.67</v>
      </c>
      <c r="D71" s="116"/>
      <c r="E71" s="228">
        <v>23814</v>
      </c>
      <c r="F71" s="116"/>
      <c r="G71" s="116"/>
    </row>
    <row r="72" spans="1:7" ht="16.5">
      <c r="A72" s="227" t="s">
        <v>413</v>
      </c>
      <c r="B72" s="227" t="s">
        <v>648</v>
      </c>
      <c r="C72" s="228">
        <v>391569.58999999997</v>
      </c>
      <c r="D72" s="116"/>
      <c r="E72" s="228">
        <v>81748.069999999992</v>
      </c>
      <c r="F72" s="116"/>
      <c r="G72" s="116"/>
    </row>
    <row r="73" spans="1:7" ht="16.5">
      <c r="A73" s="227" t="s">
        <v>415</v>
      </c>
      <c r="B73" s="227" t="s">
        <v>649</v>
      </c>
      <c r="C73" s="228">
        <v>9563965.4199999999</v>
      </c>
      <c r="D73" s="228">
        <v>12302.11</v>
      </c>
      <c r="E73" s="228">
        <v>972591.77</v>
      </c>
      <c r="F73" s="116"/>
      <c r="G73" s="116"/>
    </row>
    <row r="74" spans="1:7" ht="16.5">
      <c r="A74" s="227" t="s">
        <v>417</v>
      </c>
      <c r="B74" s="227" t="s">
        <v>650</v>
      </c>
      <c r="C74" s="228">
        <v>3221619.67</v>
      </c>
      <c r="D74" s="228">
        <v>127798.69</v>
      </c>
      <c r="E74" s="228">
        <v>501874.20999999996</v>
      </c>
      <c r="F74" s="116"/>
      <c r="G74" s="116"/>
    </row>
    <row r="75" spans="1:7" ht="16.5">
      <c r="A75" s="227" t="s">
        <v>419</v>
      </c>
      <c r="B75" s="227" t="s">
        <v>651</v>
      </c>
      <c r="C75" s="228">
        <v>77420.989999999991</v>
      </c>
      <c r="D75" s="116"/>
      <c r="E75" s="228">
        <v>8826</v>
      </c>
      <c r="F75" s="116"/>
      <c r="G75" s="116"/>
    </row>
    <row r="76" spans="1:7" ht="16.5">
      <c r="A76" s="227" t="s">
        <v>513</v>
      </c>
      <c r="B76" s="227" t="s">
        <v>652</v>
      </c>
      <c r="C76" s="228">
        <v>45376622.309999995</v>
      </c>
      <c r="D76" s="228">
        <v>527515.4</v>
      </c>
      <c r="E76" s="228">
        <v>4891034.6400000006</v>
      </c>
      <c r="F76" s="116"/>
      <c r="G76" s="116"/>
    </row>
    <row r="77" spans="1:7" ht="16.5">
      <c r="A77" s="227" t="s">
        <v>515</v>
      </c>
      <c r="B77" s="227" t="s">
        <v>863</v>
      </c>
      <c r="C77" s="228">
        <v>50425826.610000007</v>
      </c>
      <c r="D77" s="228">
        <v>716377.48</v>
      </c>
      <c r="E77" s="228">
        <v>4594969.0500000007</v>
      </c>
      <c r="F77" s="116"/>
      <c r="G77" s="116"/>
    </row>
    <row r="78" spans="1:7" ht="16.5">
      <c r="A78" s="227" t="s">
        <v>516</v>
      </c>
      <c r="B78" s="227" t="s">
        <v>1799</v>
      </c>
      <c r="C78" s="228">
        <v>32684.11</v>
      </c>
      <c r="D78" s="116"/>
      <c r="E78" s="228">
        <v>11424.1</v>
      </c>
      <c r="F78" s="116"/>
      <c r="G78" s="116"/>
    </row>
    <row r="79" spans="1:7" ht="16.5">
      <c r="A79" s="227" t="s">
        <v>517</v>
      </c>
      <c r="B79" s="227" t="s">
        <v>653</v>
      </c>
      <c r="C79" s="228">
        <v>42927160.549999997</v>
      </c>
      <c r="D79" s="228">
        <v>1175857</v>
      </c>
      <c r="E79" s="228">
        <v>4666837</v>
      </c>
      <c r="F79" s="116"/>
      <c r="G79" s="116"/>
    </row>
    <row r="80" spans="1:7" ht="16.5">
      <c r="A80" s="227" t="s">
        <v>420</v>
      </c>
      <c r="B80" s="227" t="s">
        <v>654</v>
      </c>
      <c r="C80" s="228">
        <v>9740360.870000001</v>
      </c>
      <c r="D80" s="228">
        <v>30765.63</v>
      </c>
      <c r="E80" s="228">
        <v>1162985.1599999999</v>
      </c>
      <c r="F80" s="116"/>
      <c r="G80" s="228">
        <v>96417.860000000015</v>
      </c>
    </row>
    <row r="81" spans="1:7" ht="16.5">
      <c r="A81" s="227" t="s">
        <v>422</v>
      </c>
      <c r="B81" s="227" t="s">
        <v>655</v>
      </c>
      <c r="C81" s="228">
        <v>7562549.3199999994</v>
      </c>
      <c r="D81" s="228">
        <v>69367.350000000006</v>
      </c>
      <c r="E81" s="228">
        <v>745052.55999999994</v>
      </c>
      <c r="F81" s="116"/>
      <c r="G81" s="116"/>
    </row>
    <row r="82" spans="1:7" ht="16.5">
      <c r="A82" s="227" t="s">
        <v>424</v>
      </c>
      <c r="B82" s="227" t="s">
        <v>656</v>
      </c>
      <c r="C82" s="228">
        <v>1365307.44</v>
      </c>
      <c r="D82" s="228">
        <v>47679</v>
      </c>
      <c r="E82" s="228">
        <v>215231.44</v>
      </c>
      <c r="F82" s="116"/>
      <c r="G82" s="116"/>
    </row>
    <row r="83" spans="1:7" ht="16.5">
      <c r="A83" s="227" t="s">
        <v>426</v>
      </c>
      <c r="B83" s="227" t="s">
        <v>657</v>
      </c>
      <c r="C83" s="228">
        <v>18037473.900000002</v>
      </c>
      <c r="D83" s="228">
        <v>276951.28999999998</v>
      </c>
      <c r="E83" s="228">
        <v>1645775.1100000003</v>
      </c>
      <c r="F83" s="116"/>
      <c r="G83" s="116"/>
    </row>
    <row r="84" spans="1:7" ht="16.5">
      <c r="A84" s="227" t="s">
        <v>428</v>
      </c>
      <c r="B84" s="227" t="s">
        <v>658</v>
      </c>
      <c r="C84" s="228">
        <v>1166295.9100000001</v>
      </c>
      <c r="D84" s="228">
        <v>38654</v>
      </c>
      <c r="E84" s="228">
        <v>156000.12</v>
      </c>
      <c r="F84" s="116"/>
      <c r="G84" s="116"/>
    </row>
    <row r="85" spans="1:7" ht="16.5">
      <c r="A85" s="227" t="s">
        <v>430</v>
      </c>
      <c r="B85" s="227" t="s">
        <v>659</v>
      </c>
      <c r="C85" s="228">
        <v>153728.22</v>
      </c>
      <c r="D85" s="228">
        <v>7321.41</v>
      </c>
      <c r="E85" s="228">
        <v>35398.75</v>
      </c>
      <c r="F85" s="116"/>
      <c r="G85" s="116"/>
    </row>
    <row r="86" spans="1:7" ht="16.5">
      <c r="A86" s="227" t="s">
        <v>432</v>
      </c>
      <c r="B86" s="227" t="s">
        <v>902</v>
      </c>
      <c r="C86" s="228">
        <v>100066.66</v>
      </c>
      <c r="D86" s="116"/>
      <c r="E86" s="116"/>
      <c r="F86" s="116"/>
      <c r="G86" s="116"/>
    </row>
    <row r="87" spans="1:7" ht="16.5">
      <c r="A87" s="227" t="s">
        <v>434</v>
      </c>
      <c r="B87" s="227" t="s">
        <v>903</v>
      </c>
      <c r="C87" s="228">
        <v>3007033.3</v>
      </c>
      <c r="D87" s="116"/>
      <c r="E87" s="116"/>
      <c r="F87" s="116"/>
      <c r="G87" s="116"/>
    </row>
    <row r="88" spans="1:7" ht="16.5">
      <c r="A88" s="227" t="s">
        <v>436</v>
      </c>
      <c r="B88" s="227" t="s">
        <v>660</v>
      </c>
      <c r="C88" s="228">
        <v>1096376.72</v>
      </c>
      <c r="D88" s="228">
        <v>37868</v>
      </c>
      <c r="E88" s="228">
        <v>172130.68</v>
      </c>
      <c r="F88" s="116"/>
      <c r="G88" s="228">
        <v>24702</v>
      </c>
    </row>
    <row r="89" spans="1:7" ht="16.5">
      <c r="A89" s="227" t="s">
        <v>219</v>
      </c>
      <c r="B89" s="227" t="s">
        <v>661</v>
      </c>
      <c r="C89" s="228">
        <v>5775391.6100000003</v>
      </c>
      <c r="D89" s="228">
        <v>31013.879999999997</v>
      </c>
      <c r="E89" s="228">
        <v>752481.54</v>
      </c>
      <c r="F89" s="116"/>
      <c r="G89" s="116"/>
    </row>
    <row r="90" spans="1:7" ht="16.5">
      <c r="A90" s="227" t="s">
        <v>221</v>
      </c>
      <c r="B90" s="227" t="s">
        <v>662</v>
      </c>
      <c r="C90" s="228">
        <v>1965377.29</v>
      </c>
      <c r="D90" s="228">
        <v>34280.199999999997</v>
      </c>
      <c r="E90" s="228">
        <v>277458.84000000003</v>
      </c>
      <c r="F90" s="116"/>
      <c r="G90" s="116"/>
    </row>
    <row r="91" spans="1:7" ht="16.5">
      <c r="A91" s="227" t="s">
        <v>313</v>
      </c>
      <c r="B91" s="227" t="s">
        <v>663</v>
      </c>
      <c r="C91" s="228">
        <v>6324214.1600000001</v>
      </c>
      <c r="D91" s="116"/>
      <c r="E91" s="228">
        <v>586830.31999999995</v>
      </c>
      <c r="F91" s="116"/>
      <c r="G91" s="116"/>
    </row>
    <row r="92" spans="1:7" ht="16.5">
      <c r="A92" s="227" t="s">
        <v>439</v>
      </c>
      <c r="B92" s="227" t="s">
        <v>664</v>
      </c>
      <c r="C92" s="228">
        <v>358929.13</v>
      </c>
      <c r="D92" s="116"/>
      <c r="E92" s="228">
        <v>36251</v>
      </c>
      <c r="F92" s="116"/>
      <c r="G92" s="116"/>
    </row>
    <row r="93" spans="1:7" ht="16.5">
      <c r="A93" s="227" t="s">
        <v>441</v>
      </c>
      <c r="B93" s="227" t="s">
        <v>665</v>
      </c>
      <c r="C93" s="228">
        <v>51044.639999999999</v>
      </c>
      <c r="D93" s="116"/>
      <c r="E93" s="228">
        <v>8616.0999999999985</v>
      </c>
      <c r="F93" s="116"/>
      <c r="G93" s="116"/>
    </row>
    <row r="94" spans="1:7" ht="16.5">
      <c r="A94" s="227" t="s">
        <v>443</v>
      </c>
      <c r="B94" s="227" t="s">
        <v>904</v>
      </c>
      <c r="C94" s="228">
        <v>194224.95</v>
      </c>
      <c r="D94" s="116"/>
      <c r="E94" s="116"/>
      <c r="F94" s="116"/>
      <c r="G94" s="116"/>
    </row>
    <row r="95" spans="1:7" ht="16.5">
      <c r="A95" s="227" t="s">
        <v>445</v>
      </c>
      <c r="B95" s="227" t="s">
        <v>666</v>
      </c>
      <c r="C95" s="228">
        <v>1084960.3199999998</v>
      </c>
      <c r="D95" s="228">
        <v>22695.33</v>
      </c>
      <c r="E95" s="228">
        <v>101654.5</v>
      </c>
      <c r="F95" s="116"/>
      <c r="G95" s="116"/>
    </row>
    <row r="96" spans="1:7" ht="16.5">
      <c r="A96" s="227" t="s">
        <v>447</v>
      </c>
      <c r="B96" s="227" t="s">
        <v>667</v>
      </c>
      <c r="C96" s="228">
        <v>213891.12</v>
      </c>
      <c r="D96" s="228">
        <v>7902.1900000000005</v>
      </c>
      <c r="E96" s="228">
        <v>29374.089999999997</v>
      </c>
      <c r="F96" s="116"/>
      <c r="G96" s="116"/>
    </row>
    <row r="97" spans="1:7" ht="16.5">
      <c r="A97" s="227" t="s">
        <v>449</v>
      </c>
      <c r="B97" s="227" t="s">
        <v>668</v>
      </c>
      <c r="C97" s="228">
        <v>1369854.5699999998</v>
      </c>
      <c r="D97" s="228">
        <v>47253.07</v>
      </c>
      <c r="E97" s="228">
        <v>263970.55000000005</v>
      </c>
      <c r="F97" s="116"/>
      <c r="G97" s="116"/>
    </row>
    <row r="98" spans="1:7" ht="16.5">
      <c r="A98" s="227" t="s">
        <v>332</v>
      </c>
      <c r="B98" s="227" t="s">
        <v>669</v>
      </c>
      <c r="C98" s="228">
        <v>45265489.190000005</v>
      </c>
      <c r="D98" s="228">
        <v>769801.70000000007</v>
      </c>
      <c r="E98" s="228">
        <v>4339773.51</v>
      </c>
      <c r="F98" s="116"/>
      <c r="G98" s="116"/>
    </row>
    <row r="99" spans="1:7" ht="16.5">
      <c r="A99" s="227" t="s">
        <v>334</v>
      </c>
      <c r="B99" s="227" t="s">
        <v>670</v>
      </c>
      <c r="C99" s="228">
        <v>2796309.3900000006</v>
      </c>
      <c r="D99" s="228">
        <v>84281.96</v>
      </c>
      <c r="E99" s="228">
        <v>328638.51</v>
      </c>
      <c r="F99" s="116"/>
      <c r="G99" s="116"/>
    </row>
    <row r="100" spans="1:7" ht="16.5">
      <c r="A100" s="227" t="s">
        <v>336</v>
      </c>
      <c r="B100" s="227" t="s">
        <v>671</v>
      </c>
      <c r="C100" s="228">
        <v>791057.47000000009</v>
      </c>
      <c r="D100" s="116"/>
      <c r="E100" s="228">
        <v>100045</v>
      </c>
      <c r="F100" s="116"/>
      <c r="G100" s="228">
        <v>24596</v>
      </c>
    </row>
    <row r="101" spans="1:7" ht="16.5">
      <c r="A101" s="227" t="s">
        <v>338</v>
      </c>
      <c r="B101" s="227" t="s">
        <v>672</v>
      </c>
      <c r="C101" s="228">
        <v>2621035.7200000002</v>
      </c>
      <c r="D101" s="116"/>
      <c r="E101" s="228">
        <v>339231.05000000005</v>
      </c>
      <c r="F101" s="116"/>
      <c r="G101" s="116"/>
    </row>
    <row r="102" spans="1:7" ht="16.5">
      <c r="A102" s="227" t="s">
        <v>1509</v>
      </c>
      <c r="B102" s="227" t="s">
        <v>1792</v>
      </c>
      <c r="C102" s="228">
        <v>160829.82</v>
      </c>
      <c r="D102" s="116"/>
      <c r="E102" s="228">
        <v>20215</v>
      </c>
      <c r="F102" s="116"/>
      <c r="G102" s="116"/>
    </row>
    <row r="103" spans="1:7" ht="16.5">
      <c r="A103" s="227" t="s">
        <v>964</v>
      </c>
      <c r="B103" s="227" t="s">
        <v>1785</v>
      </c>
      <c r="C103" s="228">
        <v>278257.78999999998</v>
      </c>
      <c r="D103" s="116"/>
      <c r="E103" s="228">
        <v>70729</v>
      </c>
      <c r="F103" s="116"/>
      <c r="G103" s="116"/>
    </row>
    <row r="104" spans="1:7" ht="16.5">
      <c r="A104" s="227" t="s">
        <v>1051</v>
      </c>
      <c r="B104" s="227" t="s">
        <v>1512</v>
      </c>
      <c r="C104" s="228">
        <v>119056.03</v>
      </c>
      <c r="D104" s="116"/>
      <c r="E104" s="228">
        <v>68680</v>
      </c>
      <c r="F104" s="116"/>
      <c r="G104" s="116"/>
    </row>
    <row r="105" spans="1:7" ht="16.5">
      <c r="A105" s="227" t="s">
        <v>340</v>
      </c>
      <c r="B105" s="227" t="s">
        <v>673</v>
      </c>
      <c r="C105" s="228">
        <v>368862.91</v>
      </c>
      <c r="D105" s="116"/>
      <c r="E105" s="228">
        <v>54531.72</v>
      </c>
      <c r="F105" s="116"/>
      <c r="G105" s="228">
        <v>33710.75</v>
      </c>
    </row>
    <row r="106" spans="1:7" ht="16.5">
      <c r="A106" s="227" t="s">
        <v>342</v>
      </c>
      <c r="B106" s="227" t="s">
        <v>674</v>
      </c>
      <c r="C106" s="228">
        <v>37255.509999999995</v>
      </c>
      <c r="D106" s="228">
        <v>1117</v>
      </c>
      <c r="E106" s="228">
        <v>7288</v>
      </c>
      <c r="F106" s="116"/>
      <c r="G106" s="116"/>
    </row>
    <row r="107" spans="1:7" ht="16.5">
      <c r="A107" s="227" t="s">
        <v>344</v>
      </c>
      <c r="B107" s="227" t="s">
        <v>675</v>
      </c>
      <c r="C107" s="228">
        <v>32847175.819999997</v>
      </c>
      <c r="D107" s="228">
        <v>436651.52999999997</v>
      </c>
      <c r="E107" s="228">
        <v>7362828.1500000004</v>
      </c>
      <c r="F107" s="116"/>
      <c r="G107" s="116"/>
    </row>
    <row r="108" spans="1:7" ht="16.5">
      <c r="A108" s="227" t="s">
        <v>346</v>
      </c>
      <c r="B108" s="227" t="s">
        <v>905</v>
      </c>
      <c r="C108" s="228">
        <v>73202.64</v>
      </c>
      <c r="D108" s="116"/>
      <c r="E108" s="116"/>
      <c r="F108" s="116"/>
      <c r="G108" s="116"/>
    </row>
    <row r="109" spans="1:7" ht="16.5">
      <c r="A109" s="227" t="s">
        <v>452</v>
      </c>
      <c r="B109" s="227" t="s">
        <v>906</v>
      </c>
      <c r="C109" s="228">
        <v>1902289.02</v>
      </c>
      <c r="D109" s="116"/>
      <c r="E109" s="116"/>
      <c r="F109" s="116"/>
      <c r="G109" s="116"/>
    </row>
    <row r="110" spans="1:7" ht="16.5">
      <c r="A110" s="227" t="s">
        <v>454</v>
      </c>
      <c r="B110" s="227" t="s">
        <v>676</v>
      </c>
      <c r="C110" s="228">
        <v>27386.440000000002</v>
      </c>
      <c r="D110" s="228">
        <v>2073</v>
      </c>
      <c r="E110" s="228">
        <v>10734</v>
      </c>
      <c r="F110" s="116"/>
      <c r="G110" s="116"/>
    </row>
    <row r="111" spans="1:7" ht="16.5">
      <c r="A111" s="227" t="s">
        <v>456</v>
      </c>
      <c r="B111" s="227" t="s">
        <v>677</v>
      </c>
      <c r="C111" s="228">
        <v>8717900.8899999987</v>
      </c>
      <c r="D111" s="228">
        <v>207471.19</v>
      </c>
      <c r="E111" s="228">
        <v>1172919.8799999999</v>
      </c>
      <c r="F111" s="116"/>
      <c r="G111" s="116"/>
    </row>
    <row r="112" spans="1:7" ht="16.5">
      <c r="A112" s="227" t="s">
        <v>458</v>
      </c>
      <c r="B112" s="227" t="s">
        <v>678</v>
      </c>
      <c r="C112" s="228">
        <v>26876183.140000001</v>
      </c>
      <c r="D112" s="228">
        <v>495148.50999999989</v>
      </c>
      <c r="E112" s="228">
        <v>3870048.48</v>
      </c>
      <c r="F112" s="116"/>
      <c r="G112" s="228">
        <v>221.64</v>
      </c>
    </row>
    <row r="113" spans="1:7" ht="16.5">
      <c r="A113" s="227" t="s">
        <v>460</v>
      </c>
      <c r="B113" s="227" t="s">
        <v>679</v>
      </c>
      <c r="C113" s="228">
        <v>57943758.140000001</v>
      </c>
      <c r="D113" s="228">
        <v>8970</v>
      </c>
      <c r="E113" s="228">
        <v>5685220.4799999995</v>
      </c>
      <c r="F113" s="116"/>
      <c r="G113" s="116"/>
    </row>
    <row r="114" spans="1:7" ht="16.5">
      <c r="A114" s="227" t="s">
        <v>479</v>
      </c>
      <c r="B114" s="227" t="s">
        <v>680</v>
      </c>
      <c r="C114" s="228">
        <v>1363041.61</v>
      </c>
      <c r="D114" s="228">
        <v>20070.07</v>
      </c>
      <c r="E114" s="228">
        <v>200945.76999999996</v>
      </c>
      <c r="F114" s="116"/>
      <c r="G114" s="116"/>
    </row>
    <row r="115" spans="1:7" ht="16.5">
      <c r="A115" s="227" t="s">
        <v>481</v>
      </c>
      <c r="B115" s="227" t="s">
        <v>849</v>
      </c>
      <c r="C115" s="228">
        <v>1752916.6199999996</v>
      </c>
      <c r="D115" s="228">
        <v>2000</v>
      </c>
      <c r="E115" s="228">
        <v>392750.04</v>
      </c>
      <c r="F115" s="116"/>
      <c r="G115" s="116"/>
    </row>
    <row r="116" spans="1:7" ht="16.5">
      <c r="A116" s="227" t="s">
        <v>482</v>
      </c>
      <c r="B116" s="227" t="s">
        <v>681</v>
      </c>
      <c r="C116" s="228">
        <v>1177933.48</v>
      </c>
      <c r="D116" s="228">
        <v>28957.56</v>
      </c>
      <c r="E116" s="228">
        <v>80516.959999999992</v>
      </c>
      <c r="F116" s="116"/>
      <c r="G116" s="116"/>
    </row>
    <row r="117" spans="1:7" ht="16.5">
      <c r="A117" s="227" t="s">
        <v>293</v>
      </c>
      <c r="B117" s="227" t="s">
        <v>907</v>
      </c>
      <c r="C117" s="228">
        <v>124227.42</v>
      </c>
      <c r="D117" s="116"/>
      <c r="E117" s="116"/>
      <c r="F117" s="116"/>
      <c r="G117" s="116"/>
    </row>
    <row r="118" spans="1:7" ht="16.5">
      <c r="A118" s="227" t="s">
        <v>295</v>
      </c>
      <c r="B118" s="227" t="s">
        <v>683</v>
      </c>
      <c r="C118" s="228">
        <v>1173901.3700000001</v>
      </c>
      <c r="D118" s="116"/>
      <c r="E118" s="228">
        <v>267094.18</v>
      </c>
      <c r="F118" s="116"/>
      <c r="G118" s="228">
        <v>67759.55</v>
      </c>
    </row>
    <row r="119" spans="1:7" ht="16.5">
      <c r="A119" s="227" t="s">
        <v>121</v>
      </c>
      <c r="B119" s="227" t="s">
        <v>1782</v>
      </c>
      <c r="C119" s="228">
        <v>3102472.85</v>
      </c>
      <c r="D119" s="228">
        <v>72722.459999999992</v>
      </c>
      <c r="E119" s="228">
        <v>295743</v>
      </c>
      <c r="F119" s="116"/>
      <c r="G119" s="116"/>
    </row>
    <row r="120" spans="1:7" ht="16.5">
      <c r="A120" s="227" t="s">
        <v>123</v>
      </c>
      <c r="B120" s="227" t="s">
        <v>1805</v>
      </c>
      <c r="C120" s="228">
        <v>133159.66</v>
      </c>
      <c r="D120" s="228">
        <v>3708.89</v>
      </c>
      <c r="E120" s="228">
        <v>20398.849999999999</v>
      </c>
      <c r="F120" s="116"/>
      <c r="G120" s="116"/>
    </row>
    <row r="121" spans="1:7" ht="16.5">
      <c r="A121" s="227" t="s">
        <v>124</v>
      </c>
      <c r="B121" s="227" t="s">
        <v>685</v>
      </c>
      <c r="C121" s="228">
        <v>1582877.1700000002</v>
      </c>
      <c r="D121" s="116"/>
      <c r="E121" s="228">
        <v>313569.87</v>
      </c>
      <c r="F121" s="116"/>
      <c r="G121" s="116"/>
    </row>
    <row r="122" spans="1:7" ht="16.5">
      <c r="A122" s="227" t="s">
        <v>126</v>
      </c>
      <c r="B122" s="227" t="s">
        <v>686</v>
      </c>
      <c r="C122" s="228">
        <v>19617616.32</v>
      </c>
      <c r="D122" s="228">
        <v>424518.68</v>
      </c>
      <c r="E122" s="228">
        <v>1724238.3899999997</v>
      </c>
      <c r="F122" s="116"/>
      <c r="G122" s="116"/>
    </row>
    <row r="123" spans="1:7" ht="16.5">
      <c r="A123" s="227" t="s">
        <v>128</v>
      </c>
      <c r="B123" s="227" t="s">
        <v>687</v>
      </c>
      <c r="C123" s="228">
        <v>61909501.559999995</v>
      </c>
      <c r="D123" s="228">
        <v>1388984.7200000002</v>
      </c>
      <c r="E123" s="228">
        <v>6123576.9199999999</v>
      </c>
      <c r="F123" s="116"/>
      <c r="G123" s="116"/>
    </row>
    <row r="124" spans="1:7" ht="16.5">
      <c r="A124" s="227" t="s">
        <v>130</v>
      </c>
      <c r="B124" s="227" t="s">
        <v>688</v>
      </c>
      <c r="C124" s="228">
        <v>5208843.8899999997</v>
      </c>
      <c r="D124" s="228">
        <v>36127.979999999996</v>
      </c>
      <c r="E124" s="228">
        <v>535585.35</v>
      </c>
      <c r="F124" s="116"/>
      <c r="G124" s="116"/>
    </row>
    <row r="125" spans="1:7" ht="16.5">
      <c r="A125" s="227" t="s">
        <v>132</v>
      </c>
      <c r="B125" s="227" t="s">
        <v>689</v>
      </c>
      <c r="C125" s="228">
        <v>107862.55</v>
      </c>
      <c r="D125" s="228">
        <v>1636</v>
      </c>
      <c r="E125" s="228">
        <v>5653</v>
      </c>
      <c r="F125" s="116"/>
      <c r="G125" s="116"/>
    </row>
    <row r="126" spans="1:7" ht="16.5">
      <c r="A126" s="227" t="s">
        <v>462</v>
      </c>
      <c r="B126" s="227" t="s">
        <v>690</v>
      </c>
      <c r="C126" s="228">
        <v>665758.90000000014</v>
      </c>
      <c r="D126" s="228">
        <v>11358.45</v>
      </c>
      <c r="E126" s="228">
        <v>132507.70000000001</v>
      </c>
      <c r="F126" s="116"/>
      <c r="G126" s="116"/>
    </row>
    <row r="127" spans="1:7" ht="16.5">
      <c r="A127" s="227" t="s">
        <v>464</v>
      </c>
      <c r="B127" s="227" t="s">
        <v>691</v>
      </c>
      <c r="C127" s="228">
        <v>245895.22999999998</v>
      </c>
      <c r="D127" s="116"/>
      <c r="E127" s="228">
        <v>84319.81</v>
      </c>
      <c r="F127" s="116"/>
      <c r="G127" s="116"/>
    </row>
    <row r="128" spans="1:7" ht="16.5">
      <c r="A128" s="227" t="s">
        <v>466</v>
      </c>
      <c r="B128" s="227" t="s">
        <v>692</v>
      </c>
      <c r="C128" s="228">
        <v>12986060.709999999</v>
      </c>
      <c r="D128" s="228">
        <v>53984.380000000005</v>
      </c>
      <c r="E128" s="228">
        <v>1544460.53</v>
      </c>
      <c r="F128" s="116"/>
      <c r="G128" s="116"/>
    </row>
    <row r="129" spans="1:7" ht="16.5">
      <c r="A129" s="227" t="s">
        <v>468</v>
      </c>
      <c r="B129" s="227" t="s">
        <v>693</v>
      </c>
      <c r="C129" s="228">
        <v>265588.53999999998</v>
      </c>
      <c r="D129" s="116"/>
      <c r="E129" s="228">
        <v>64684.57</v>
      </c>
      <c r="F129" s="116"/>
      <c r="G129" s="116"/>
    </row>
    <row r="130" spans="1:7" ht="16.5">
      <c r="A130" s="227" t="s">
        <v>470</v>
      </c>
      <c r="B130" s="227" t="s">
        <v>850</v>
      </c>
      <c r="C130" s="228">
        <v>732051.39000000013</v>
      </c>
      <c r="D130" s="228">
        <v>11654</v>
      </c>
      <c r="E130" s="228">
        <v>82868</v>
      </c>
      <c r="F130" s="116"/>
      <c r="G130" s="116"/>
    </row>
    <row r="131" spans="1:7" ht="16.5">
      <c r="A131" s="227" t="s">
        <v>1052</v>
      </c>
      <c r="B131" s="227" t="s">
        <v>1514</v>
      </c>
      <c r="C131" s="228">
        <v>84688.26999999999</v>
      </c>
      <c r="D131" s="228">
        <v>1499.6</v>
      </c>
      <c r="E131" s="228">
        <v>7440</v>
      </c>
      <c r="F131" s="116"/>
      <c r="G131" s="116"/>
    </row>
    <row r="132" spans="1:7" ht="16.5">
      <c r="A132" s="227" t="s">
        <v>931</v>
      </c>
      <c r="B132" s="227" t="s">
        <v>1804</v>
      </c>
      <c r="C132" s="228">
        <v>864016.23</v>
      </c>
      <c r="D132" s="116"/>
      <c r="E132" s="116"/>
      <c r="F132" s="116"/>
      <c r="G132" s="116"/>
    </row>
    <row r="133" spans="1:7" ht="16.5">
      <c r="A133" s="227" t="s">
        <v>486</v>
      </c>
      <c r="B133" s="227" t="s">
        <v>909</v>
      </c>
      <c r="C133" s="228">
        <v>394620.45</v>
      </c>
      <c r="D133" s="116"/>
      <c r="E133" s="116"/>
      <c r="F133" s="116"/>
      <c r="G133" s="116"/>
    </row>
    <row r="134" spans="1:7" ht="16.5">
      <c r="A134" s="227" t="s">
        <v>488</v>
      </c>
      <c r="B134" s="227" t="s">
        <v>694</v>
      </c>
      <c r="C134" s="228">
        <v>7299915.4699999988</v>
      </c>
      <c r="D134" s="116"/>
      <c r="E134" s="228">
        <v>973968.90000000026</v>
      </c>
      <c r="F134" s="116"/>
      <c r="G134" s="116"/>
    </row>
    <row r="135" spans="1:7" ht="16.5">
      <c r="A135" s="227" t="s">
        <v>490</v>
      </c>
      <c r="B135" s="227" t="s">
        <v>695</v>
      </c>
      <c r="C135" s="228">
        <v>834437.65999999992</v>
      </c>
      <c r="D135" s="116"/>
      <c r="E135" s="228">
        <v>156830.58000000002</v>
      </c>
      <c r="F135" s="116"/>
      <c r="G135" s="116"/>
    </row>
    <row r="136" spans="1:7" ht="16.5">
      <c r="A136" s="227" t="s">
        <v>492</v>
      </c>
      <c r="B136" s="227" t="s">
        <v>696</v>
      </c>
      <c r="C136" s="228">
        <v>111110.26000000001</v>
      </c>
      <c r="D136" s="116"/>
      <c r="E136" s="228">
        <v>44304.26</v>
      </c>
      <c r="F136" s="116"/>
      <c r="G136" s="116"/>
    </row>
    <row r="137" spans="1:7" ht="16.5">
      <c r="A137" s="227" t="s">
        <v>494</v>
      </c>
      <c r="B137" s="227" t="s">
        <v>697</v>
      </c>
      <c r="C137" s="228">
        <v>831739.34999999986</v>
      </c>
      <c r="D137" s="228">
        <v>33450.46</v>
      </c>
      <c r="E137" s="228">
        <v>130729.61000000002</v>
      </c>
      <c r="F137" s="116"/>
      <c r="G137" s="116"/>
    </row>
    <row r="138" spans="1:7" ht="16.5">
      <c r="A138" s="227" t="s">
        <v>496</v>
      </c>
      <c r="B138" s="227" t="s">
        <v>851</v>
      </c>
      <c r="C138" s="228">
        <v>1707691.1300000001</v>
      </c>
      <c r="D138" s="116"/>
      <c r="E138" s="228">
        <v>272066.95999999996</v>
      </c>
      <c r="F138" s="116"/>
      <c r="G138" s="116"/>
    </row>
    <row r="139" spans="1:7" ht="16.5">
      <c r="A139" s="227" t="s">
        <v>497</v>
      </c>
      <c r="B139" s="227" t="s">
        <v>698</v>
      </c>
      <c r="C139" s="228">
        <v>526784.94000000006</v>
      </c>
      <c r="D139" s="116"/>
      <c r="E139" s="228">
        <v>114704.85</v>
      </c>
      <c r="F139" s="116"/>
      <c r="G139" s="116"/>
    </row>
    <row r="140" spans="1:7" ht="16.5">
      <c r="A140" s="227" t="s">
        <v>499</v>
      </c>
      <c r="B140" s="227" t="s">
        <v>699</v>
      </c>
      <c r="C140" s="228">
        <v>25728607.879999995</v>
      </c>
      <c r="D140" s="228">
        <v>285343.28000000003</v>
      </c>
      <c r="E140" s="228">
        <v>2459958.91</v>
      </c>
      <c r="F140" s="116"/>
      <c r="G140" s="228">
        <v>170206</v>
      </c>
    </row>
    <row r="141" spans="1:7" ht="16.5">
      <c r="A141" s="227" t="s">
        <v>38</v>
      </c>
      <c r="B141" s="227" t="s">
        <v>852</v>
      </c>
      <c r="C141" s="228">
        <v>737918.46999999986</v>
      </c>
      <c r="D141" s="116"/>
      <c r="E141" s="228">
        <v>59638</v>
      </c>
      <c r="F141" s="116"/>
      <c r="G141" s="116"/>
    </row>
    <row r="142" spans="1:7" ht="16.5">
      <c r="A142" s="227" t="s">
        <v>39</v>
      </c>
      <c r="B142" s="227" t="s">
        <v>700</v>
      </c>
      <c r="C142" s="228">
        <v>18053732.470000003</v>
      </c>
      <c r="D142" s="228">
        <v>354369.39</v>
      </c>
      <c r="E142" s="228">
        <v>1805658.58</v>
      </c>
      <c r="F142" s="116"/>
      <c r="G142" s="116"/>
    </row>
    <row r="143" spans="1:7" ht="16.5">
      <c r="A143" s="227" t="s">
        <v>41</v>
      </c>
      <c r="B143" s="227" t="s">
        <v>701</v>
      </c>
      <c r="C143" s="228">
        <v>2672310.7200000002</v>
      </c>
      <c r="D143" s="116"/>
      <c r="E143" s="228">
        <v>401832.1</v>
      </c>
      <c r="F143" s="228">
        <v>196537.12</v>
      </c>
      <c r="G143" s="228">
        <v>85208.55</v>
      </c>
    </row>
    <row r="144" spans="1:7" ht="16.5">
      <c r="A144" s="227" t="s">
        <v>43</v>
      </c>
      <c r="B144" s="227" t="s">
        <v>702</v>
      </c>
      <c r="C144" s="228">
        <v>10418458.050000001</v>
      </c>
      <c r="D144" s="228">
        <v>131906.80000000002</v>
      </c>
      <c r="E144" s="228">
        <v>915715.1399999999</v>
      </c>
      <c r="F144" s="116"/>
      <c r="G144" s="116"/>
    </row>
    <row r="145" spans="1:7" ht="16.5">
      <c r="A145" s="227" t="s">
        <v>45</v>
      </c>
      <c r="B145" s="227" t="s">
        <v>703</v>
      </c>
      <c r="C145" s="228">
        <v>3120520.5600000005</v>
      </c>
      <c r="D145" s="228">
        <v>38585.300000000003</v>
      </c>
      <c r="E145" s="228">
        <v>274065.40999999997</v>
      </c>
      <c r="F145" s="116"/>
      <c r="G145" s="116"/>
    </row>
    <row r="146" spans="1:7" ht="16.5">
      <c r="A146" s="227" t="s">
        <v>47</v>
      </c>
      <c r="B146" s="227" t="s">
        <v>910</v>
      </c>
      <c r="C146" s="228">
        <v>790090.73</v>
      </c>
      <c r="D146" s="116"/>
      <c r="E146" s="116"/>
      <c r="F146" s="116"/>
      <c r="G146" s="116"/>
    </row>
    <row r="147" spans="1:7" ht="16.5">
      <c r="A147" s="227" t="s">
        <v>69</v>
      </c>
      <c r="B147" s="227" t="s">
        <v>911</v>
      </c>
      <c r="C147" s="228">
        <v>49519.17</v>
      </c>
      <c r="D147" s="116"/>
      <c r="E147" s="116"/>
      <c r="F147" s="116"/>
      <c r="G147" s="116"/>
    </row>
    <row r="148" spans="1:7" ht="16.5">
      <c r="A148" s="227" t="s">
        <v>71</v>
      </c>
      <c r="B148" s="227" t="s">
        <v>704</v>
      </c>
      <c r="C148" s="228">
        <v>12504523.499999998</v>
      </c>
      <c r="D148" s="228">
        <v>159005.71</v>
      </c>
      <c r="E148" s="228">
        <v>1226918.1900000002</v>
      </c>
      <c r="F148" s="116"/>
      <c r="G148" s="116"/>
    </row>
    <row r="149" spans="1:7" ht="16.5">
      <c r="A149" s="227" t="s">
        <v>73</v>
      </c>
      <c r="B149" s="227" t="s">
        <v>705</v>
      </c>
      <c r="C149" s="228">
        <v>2670490.0499999998</v>
      </c>
      <c r="D149" s="228">
        <v>21115.56</v>
      </c>
      <c r="E149" s="228">
        <v>287892</v>
      </c>
      <c r="F149" s="116"/>
      <c r="G149" s="116"/>
    </row>
    <row r="150" spans="1:7" ht="16.5">
      <c r="A150" s="227" t="s">
        <v>75</v>
      </c>
      <c r="B150" s="227" t="s">
        <v>706</v>
      </c>
      <c r="C150" s="228">
        <v>860640.27</v>
      </c>
      <c r="D150" s="116"/>
      <c r="E150" s="228">
        <v>127011.55</v>
      </c>
      <c r="F150" s="116"/>
      <c r="G150" s="116"/>
    </row>
    <row r="151" spans="1:7" ht="16.5">
      <c r="A151" s="227" t="s">
        <v>205</v>
      </c>
      <c r="B151" s="227" t="s">
        <v>707</v>
      </c>
      <c r="C151" s="228">
        <v>14724653.579999996</v>
      </c>
      <c r="D151" s="228">
        <v>440976.37</v>
      </c>
      <c r="E151" s="228">
        <v>1799703.39</v>
      </c>
      <c r="F151" s="116"/>
      <c r="G151" s="116"/>
    </row>
    <row r="152" spans="1:7" ht="16.5">
      <c r="A152" s="227" t="s">
        <v>207</v>
      </c>
      <c r="B152" s="227" t="s">
        <v>708</v>
      </c>
      <c r="C152" s="228">
        <v>1132427.8999999999</v>
      </c>
      <c r="D152" s="228">
        <v>11000</v>
      </c>
      <c r="E152" s="228">
        <v>136560.24</v>
      </c>
      <c r="F152" s="116"/>
      <c r="G152" s="116"/>
    </row>
    <row r="153" spans="1:7" ht="16.5">
      <c r="A153" s="227" t="s">
        <v>209</v>
      </c>
      <c r="B153" s="227" t="s">
        <v>709</v>
      </c>
      <c r="C153" s="228">
        <v>1344889.5999999999</v>
      </c>
      <c r="D153" s="228">
        <v>52657</v>
      </c>
      <c r="E153" s="228">
        <v>220858.53</v>
      </c>
      <c r="F153" s="116"/>
      <c r="G153" s="228">
        <v>42821.55</v>
      </c>
    </row>
    <row r="154" spans="1:7" ht="16.5">
      <c r="A154" s="227" t="s">
        <v>211</v>
      </c>
      <c r="B154" s="227" t="s">
        <v>710</v>
      </c>
      <c r="C154" s="228">
        <v>4164715.8699999996</v>
      </c>
      <c r="D154" s="116"/>
      <c r="E154" s="228">
        <v>531910.09000000008</v>
      </c>
      <c r="F154" s="116"/>
      <c r="G154" s="116"/>
    </row>
    <row r="155" spans="1:7" ht="16.5">
      <c r="A155" s="227" t="s">
        <v>87</v>
      </c>
      <c r="B155" s="227" t="s">
        <v>912</v>
      </c>
      <c r="C155" s="228">
        <v>43449.8</v>
      </c>
      <c r="D155" s="116"/>
      <c r="E155" s="116"/>
      <c r="F155" s="116"/>
      <c r="G155" s="116"/>
    </row>
    <row r="156" spans="1:7" ht="16.5">
      <c r="A156" s="227" t="s">
        <v>89</v>
      </c>
      <c r="B156" s="227" t="s">
        <v>1796</v>
      </c>
      <c r="C156" s="228">
        <v>16228202.290000001</v>
      </c>
      <c r="D156" s="228">
        <v>356303</v>
      </c>
      <c r="E156" s="228">
        <v>1469655.9100000001</v>
      </c>
      <c r="F156" s="116"/>
      <c r="G156" s="116"/>
    </row>
    <row r="157" spans="1:7" ht="16.5">
      <c r="A157" s="227" t="s">
        <v>90</v>
      </c>
      <c r="B157" s="227" t="s">
        <v>712</v>
      </c>
      <c r="C157" s="228">
        <v>37575741.410000004</v>
      </c>
      <c r="D157" s="228">
        <v>743074.08000000007</v>
      </c>
      <c r="E157" s="228">
        <v>2915339.51</v>
      </c>
      <c r="F157" s="116"/>
      <c r="G157" s="116"/>
    </row>
    <row r="158" spans="1:7" ht="16.5">
      <c r="A158" s="227" t="s">
        <v>92</v>
      </c>
      <c r="B158" s="227" t="s">
        <v>713</v>
      </c>
      <c r="C158" s="228">
        <v>1576504.4499999997</v>
      </c>
      <c r="D158" s="228">
        <v>67004.17</v>
      </c>
      <c r="E158" s="228">
        <v>299141.86999999994</v>
      </c>
      <c r="F158" s="116"/>
      <c r="G158" s="116"/>
    </row>
    <row r="159" spans="1:7" ht="16.5">
      <c r="A159" s="227" t="s">
        <v>94</v>
      </c>
      <c r="B159" s="227" t="s">
        <v>714</v>
      </c>
      <c r="C159" s="228">
        <v>1348860.54</v>
      </c>
      <c r="D159" s="228">
        <v>8142.83</v>
      </c>
      <c r="E159" s="228">
        <v>207699.79</v>
      </c>
      <c r="F159" s="116"/>
      <c r="G159" s="116"/>
    </row>
    <row r="160" spans="1:7" ht="16.5">
      <c r="A160" s="227" t="s">
        <v>96</v>
      </c>
      <c r="B160" s="227" t="s">
        <v>1790</v>
      </c>
      <c r="C160" s="228">
        <v>397271.53</v>
      </c>
      <c r="D160" s="116"/>
      <c r="E160" s="116"/>
      <c r="F160" s="116"/>
      <c r="G160" s="116"/>
    </row>
    <row r="161" spans="1:7" ht="16.5">
      <c r="A161" s="227" t="s">
        <v>97</v>
      </c>
      <c r="B161" s="227" t="s">
        <v>715</v>
      </c>
      <c r="C161" s="228">
        <v>157280.08000000002</v>
      </c>
      <c r="D161" s="116"/>
      <c r="E161" s="228">
        <v>57543.219999999994</v>
      </c>
      <c r="F161" s="116"/>
      <c r="G161" s="228">
        <v>45756.04</v>
      </c>
    </row>
    <row r="162" spans="1:7" ht="16.5">
      <c r="A162" s="227" t="s">
        <v>99</v>
      </c>
      <c r="B162" s="227" t="s">
        <v>716</v>
      </c>
      <c r="C162" s="228">
        <v>1998513.78</v>
      </c>
      <c r="D162" s="116"/>
      <c r="E162" s="228">
        <v>274454.45</v>
      </c>
      <c r="F162" s="116"/>
      <c r="G162" s="116"/>
    </row>
    <row r="163" spans="1:7" ht="16.5">
      <c r="A163" s="227" t="s">
        <v>101</v>
      </c>
      <c r="B163" s="227" t="s">
        <v>717</v>
      </c>
      <c r="C163" s="228">
        <v>1878549.2100000002</v>
      </c>
      <c r="D163" s="228">
        <v>61905.63</v>
      </c>
      <c r="E163" s="228">
        <v>305181.5</v>
      </c>
      <c r="F163" s="116"/>
      <c r="G163" s="116"/>
    </row>
    <row r="164" spans="1:7" ht="16.5">
      <c r="A164" s="227" t="s">
        <v>103</v>
      </c>
      <c r="B164" s="227" t="s">
        <v>718</v>
      </c>
      <c r="C164" s="228">
        <v>3377944.6399999992</v>
      </c>
      <c r="D164" s="228">
        <v>10713.42</v>
      </c>
      <c r="E164" s="228">
        <v>383705</v>
      </c>
      <c r="F164" s="116"/>
      <c r="G164" s="116"/>
    </row>
    <row r="165" spans="1:7" ht="16.5">
      <c r="A165" s="227" t="s">
        <v>214</v>
      </c>
      <c r="B165" s="227" t="s">
        <v>719</v>
      </c>
      <c r="C165" s="228">
        <v>1738023.17</v>
      </c>
      <c r="D165" s="228">
        <v>39393</v>
      </c>
      <c r="E165" s="228">
        <v>149405.66</v>
      </c>
      <c r="F165" s="116"/>
      <c r="G165" s="228">
        <v>20111.580000000002</v>
      </c>
    </row>
    <row r="166" spans="1:7" ht="16.5">
      <c r="A166" s="227" t="s">
        <v>216</v>
      </c>
      <c r="B166" s="227" t="s">
        <v>720</v>
      </c>
      <c r="C166" s="228">
        <v>3103076.0100000002</v>
      </c>
      <c r="D166" s="228">
        <v>113245</v>
      </c>
      <c r="E166" s="228">
        <v>422056</v>
      </c>
      <c r="F166" s="116"/>
      <c r="G166" s="116"/>
    </row>
    <row r="167" spans="1:7" ht="16.5">
      <c r="A167" s="227" t="s">
        <v>48</v>
      </c>
      <c r="B167" s="227" t="s">
        <v>721</v>
      </c>
      <c r="C167" s="228">
        <v>12684813.230000002</v>
      </c>
      <c r="D167" s="228">
        <v>257749.93</v>
      </c>
      <c r="E167" s="228">
        <v>1206421.1500000001</v>
      </c>
      <c r="F167" s="116"/>
      <c r="G167" s="228">
        <v>281740.25</v>
      </c>
    </row>
    <row r="168" spans="1:7" ht="16.5">
      <c r="A168" s="227" t="s">
        <v>50</v>
      </c>
      <c r="B168" s="227" t="s">
        <v>722</v>
      </c>
      <c r="C168" s="228">
        <v>3866281.4899999998</v>
      </c>
      <c r="D168" s="228">
        <v>27776.940000000002</v>
      </c>
      <c r="E168" s="228">
        <v>488242.1</v>
      </c>
      <c r="F168" s="116"/>
      <c r="G168" s="116"/>
    </row>
    <row r="169" spans="1:7" ht="16.5">
      <c r="A169" s="227" t="s">
        <v>316</v>
      </c>
      <c r="B169" s="227" t="s">
        <v>723</v>
      </c>
      <c r="C169" s="228">
        <v>123529.58</v>
      </c>
      <c r="D169" s="116"/>
      <c r="E169" s="228">
        <v>12094</v>
      </c>
      <c r="F169" s="116"/>
      <c r="G169" s="116"/>
    </row>
    <row r="170" spans="1:7" ht="16.5">
      <c r="A170" s="227" t="s">
        <v>318</v>
      </c>
      <c r="B170" s="227" t="s">
        <v>724</v>
      </c>
      <c r="C170" s="228">
        <v>36351152.310000002</v>
      </c>
      <c r="D170" s="228">
        <v>63547.55</v>
      </c>
      <c r="E170" s="228">
        <v>2930560.54</v>
      </c>
      <c r="F170" s="116"/>
      <c r="G170" s="228">
        <v>95925</v>
      </c>
    </row>
    <row r="171" spans="1:7" ht="16.5">
      <c r="A171" s="227" t="s">
        <v>320</v>
      </c>
      <c r="B171" s="227" t="s">
        <v>725</v>
      </c>
      <c r="C171" s="228">
        <v>317405.31</v>
      </c>
      <c r="D171" s="116"/>
      <c r="E171" s="228">
        <v>52778.499999999993</v>
      </c>
      <c r="F171" s="116"/>
      <c r="G171" s="116"/>
    </row>
    <row r="172" spans="1:7" ht="16.5">
      <c r="A172" s="227" t="s">
        <v>322</v>
      </c>
      <c r="B172" s="227" t="s">
        <v>726</v>
      </c>
      <c r="C172" s="228">
        <v>63390321.839999996</v>
      </c>
      <c r="D172" s="228">
        <v>204533.16999999998</v>
      </c>
      <c r="E172" s="228">
        <v>4593344.41</v>
      </c>
      <c r="F172" s="116"/>
      <c r="G172" s="116"/>
    </row>
    <row r="173" spans="1:7" ht="16.5">
      <c r="A173" s="227" t="s">
        <v>324</v>
      </c>
      <c r="B173" s="227" t="s">
        <v>727</v>
      </c>
      <c r="C173" s="228">
        <v>16476492.690000003</v>
      </c>
      <c r="D173" s="228">
        <v>266852</v>
      </c>
      <c r="E173" s="228">
        <v>1218352</v>
      </c>
      <c r="F173" s="116"/>
      <c r="G173" s="228">
        <v>271051</v>
      </c>
    </row>
    <row r="174" spans="1:7" ht="16.5">
      <c r="A174" s="227" t="s">
        <v>326</v>
      </c>
      <c r="B174" s="227" t="s">
        <v>728</v>
      </c>
      <c r="C174" s="228">
        <v>190408.98999999996</v>
      </c>
      <c r="D174" s="228">
        <v>3000</v>
      </c>
      <c r="E174" s="228">
        <v>36468.42</v>
      </c>
      <c r="F174" s="116"/>
      <c r="G174" s="116"/>
    </row>
    <row r="175" spans="1:7" ht="16.5">
      <c r="A175" s="227" t="s">
        <v>328</v>
      </c>
      <c r="B175" s="227" t="s">
        <v>729</v>
      </c>
      <c r="C175" s="228">
        <v>565543.75000000012</v>
      </c>
      <c r="D175" s="228">
        <v>15570.02</v>
      </c>
      <c r="E175" s="228">
        <v>78025.72</v>
      </c>
      <c r="F175" s="116"/>
      <c r="G175" s="228">
        <v>15975</v>
      </c>
    </row>
    <row r="176" spans="1:7" ht="16.5">
      <c r="A176" s="227" t="s">
        <v>330</v>
      </c>
      <c r="B176" s="227" t="s">
        <v>914</v>
      </c>
      <c r="C176" s="228">
        <v>2211216.94</v>
      </c>
      <c r="D176" s="116"/>
      <c r="E176" s="116"/>
      <c r="F176" s="116"/>
      <c r="G176" s="116"/>
    </row>
    <row r="177" spans="1:7" ht="16.5">
      <c r="A177" s="227" t="s">
        <v>104</v>
      </c>
      <c r="B177" s="227" t="s">
        <v>730</v>
      </c>
      <c r="C177" s="228">
        <v>804000.99999999988</v>
      </c>
      <c r="D177" s="228">
        <v>31583.8</v>
      </c>
      <c r="E177" s="228">
        <v>202308.46000000005</v>
      </c>
      <c r="F177" s="116"/>
      <c r="G177" s="116"/>
    </row>
    <row r="178" spans="1:7" ht="16.5">
      <c r="A178" s="227" t="s">
        <v>106</v>
      </c>
      <c r="B178" s="227" t="s">
        <v>731</v>
      </c>
      <c r="C178" s="228">
        <v>314601.73</v>
      </c>
      <c r="D178" s="228">
        <v>11326.96</v>
      </c>
      <c r="E178" s="228">
        <v>51062</v>
      </c>
      <c r="F178" s="116"/>
      <c r="G178" s="116"/>
    </row>
    <row r="179" spans="1:7" ht="16.5">
      <c r="A179" s="227" t="s">
        <v>108</v>
      </c>
      <c r="B179" s="227" t="s">
        <v>732</v>
      </c>
      <c r="C179" s="228">
        <v>1827388.0999999996</v>
      </c>
      <c r="D179" s="228">
        <v>35689.379999999997</v>
      </c>
      <c r="E179" s="228">
        <v>233433.09999999998</v>
      </c>
      <c r="F179" s="116"/>
      <c r="G179" s="116"/>
    </row>
    <row r="180" spans="1:7" ht="16.5">
      <c r="A180" s="227" t="s">
        <v>110</v>
      </c>
      <c r="B180" s="227" t="s">
        <v>733</v>
      </c>
      <c r="C180" s="228">
        <v>24234221.430000003</v>
      </c>
      <c r="D180" s="228">
        <v>213462.65000000002</v>
      </c>
      <c r="E180" s="228">
        <v>2089812.8900000004</v>
      </c>
      <c r="F180" s="116"/>
      <c r="G180" s="116"/>
    </row>
    <row r="181" spans="1:7" ht="16.5">
      <c r="A181" s="227" t="s">
        <v>112</v>
      </c>
      <c r="B181" s="227" t="s">
        <v>734</v>
      </c>
      <c r="C181" s="228">
        <v>8715628.3200000003</v>
      </c>
      <c r="D181" s="228">
        <v>379047.12</v>
      </c>
      <c r="E181" s="228">
        <v>1276675.73</v>
      </c>
      <c r="F181" s="116"/>
      <c r="G181" s="228">
        <v>35960.22</v>
      </c>
    </row>
    <row r="182" spans="1:7" ht="16.5">
      <c r="A182" s="227" t="s">
        <v>114</v>
      </c>
      <c r="B182" s="227" t="s">
        <v>735</v>
      </c>
      <c r="C182" s="228">
        <v>1476483.41</v>
      </c>
      <c r="D182" s="116"/>
      <c r="E182" s="228">
        <v>195961.74</v>
      </c>
      <c r="F182" s="116"/>
      <c r="G182" s="116"/>
    </row>
    <row r="183" spans="1:7" ht="16.5">
      <c r="A183" s="227" t="s">
        <v>116</v>
      </c>
      <c r="B183" s="227" t="s">
        <v>736</v>
      </c>
      <c r="C183" s="228">
        <v>42825.149999999994</v>
      </c>
      <c r="D183" s="116"/>
      <c r="E183" s="228">
        <v>26529.83</v>
      </c>
      <c r="F183" s="116"/>
      <c r="G183" s="116"/>
    </row>
    <row r="184" spans="1:7" ht="16.5">
      <c r="A184" s="227" t="s">
        <v>118</v>
      </c>
      <c r="B184" s="227" t="s">
        <v>1793</v>
      </c>
      <c r="C184" s="228">
        <v>1278979.17</v>
      </c>
      <c r="D184" s="228">
        <v>40278.83</v>
      </c>
      <c r="E184" s="228">
        <v>168486.24</v>
      </c>
      <c r="F184" s="116"/>
      <c r="G184" s="116"/>
    </row>
    <row r="185" spans="1:7" ht="16.5">
      <c r="A185" s="227" t="s">
        <v>119</v>
      </c>
      <c r="B185" s="227" t="s">
        <v>738</v>
      </c>
      <c r="C185" s="228">
        <v>91110.69</v>
      </c>
      <c r="D185" s="116"/>
      <c r="E185" s="228">
        <v>37236.980000000003</v>
      </c>
      <c r="F185" s="116"/>
      <c r="G185" s="116"/>
    </row>
    <row r="186" spans="1:7" ht="16.5">
      <c r="A186" s="227" t="s">
        <v>159</v>
      </c>
      <c r="B186" s="227" t="s">
        <v>739</v>
      </c>
      <c r="C186" s="228">
        <v>91784.540000000008</v>
      </c>
      <c r="D186" s="228">
        <v>2800</v>
      </c>
      <c r="E186" s="228">
        <v>15464.75</v>
      </c>
      <c r="F186" s="116"/>
      <c r="G186" s="116"/>
    </row>
    <row r="187" spans="1:7" ht="16.5">
      <c r="A187" s="227" t="s">
        <v>161</v>
      </c>
      <c r="B187" s="227" t="s">
        <v>915</v>
      </c>
      <c r="C187" s="228">
        <v>153288.82999999999</v>
      </c>
      <c r="D187" s="116"/>
      <c r="E187" s="116"/>
      <c r="F187" s="116"/>
      <c r="G187" s="116"/>
    </row>
    <row r="188" spans="1:7" ht="16.5">
      <c r="A188" s="227" t="s">
        <v>163</v>
      </c>
      <c r="B188" s="227" t="s">
        <v>740</v>
      </c>
      <c r="C188" s="228">
        <v>688609.03000000014</v>
      </c>
      <c r="D188" s="228">
        <v>29344.440000000002</v>
      </c>
      <c r="E188" s="228">
        <v>137973.1</v>
      </c>
      <c r="F188" s="116"/>
      <c r="G188" s="116"/>
    </row>
    <row r="189" spans="1:7" ht="16.5">
      <c r="A189" s="227" t="s">
        <v>165</v>
      </c>
      <c r="B189" s="227" t="s">
        <v>741</v>
      </c>
      <c r="C189" s="228">
        <v>6733135.8299999991</v>
      </c>
      <c r="D189" s="228">
        <v>69986.8</v>
      </c>
      <c r="E189" s="228">
        <v>633192.16</v>
      </c>
      <c r="F189" s="116"/>
      <c r="G189" s="116"/>
    </row>
    <row r="190" spans="1:7" ht="16.5">
      <c r="A190" s="227" t="s">
        <v>167</v>
      </c>
      <c r="B190" s="227" t="s">
        <v>742</v>
      </c>
      <c r="C190" s="228">
        <v>5551455.3099999996</v>
      </c>
      <c r="D190" s="228">
        <v>76166.890000000014</v>
      </c>
      <c r="E190" s="228">
        <v>799282.88</v>
      </c>
      <c r="F190" s="116"/>
      <c r="G190" s="116"/>
    </row>
    <row r="191" spans="1:7" ht="16.5">
      <c r="A191" s="227" t="s">
        <v>169</v>
      </c>
      <c r="B191" s="227" t="s">
        <v>743</v>
      </c>
      <c r="C191" s="228">
        <v>32783.64</v>
      </c>
      <c r="D191" s="228">
        <v>1418</v>
      </c>
      <c r="E191" s="228">
        <v>5522.9699999999993</v>
      </c>
      <c r="F191" s="116"/>
      <c r="G191" s="116"/>
    </row>
    <row r="192" spans="1:7" ht="16.5">
      <c r="A192" s="227" t="s">
        <v>0</v>
      </c>
      <c r="B192" s="227" t="s">
        <v>744</v>
      </c>
      <c r="C192" s="228">
        <v>222679.46</v>
      </c>
      <c r="D192" s="228">
        <v>12812.349999999999</v>
      </c>
      <c r="E192" s="228">
        <v>57838.549999999996</v>
      </c>
      <c r="F192" s="116"/>
      <c r="G192" s="116"/>
    </row>
    <row r="193" spans="1:7" ht="16.5">
      <c r="A193" s="227" t="s">
        <v>2</v>
      </c>
      <c r="B193" s="227" t="s">
        <v>745</v>
      </c>
      <c r="C193" s="228">
        <v>27824028.070000004</v>
      </c>
      <c r="D193" s="228">
        <v>391215.62000000005</v>
      </c>
      <c r="E193" s="228">
        <v>2860680.5500000003</v>
      </c>
      <c r="F193" s="116"/>
      <c r="G193" s="116"/>
    </row>
    <row r="194" spans="1:7" ht="16.5">
      <c r="A194" s="227" t="s">
        <v>388</v>
      </c>
      <c r="B194" s="227" t="s">
        <v>746</v>
      </c>
      <c r="C194" s="228">
        <v>450727.92000000004</v>
      </c>
      <c r="D194" s="116"/>
      <c r="E194" s="228">
        <v>40445.660000000003</v>
      </c>
      <c r="F194" s="116"/>
      <c r="G194" s="116"/>
    </row>
    <row r="195" spans="1:7" ht="16.5">
      <c r="A195" s="227" t="s">
        <v>391</v>
      </c>
      <c r="B195" s="227" t="s">
        <v>747</v>
      </c>
      <c r="C195" s="228">
        <v>157706.95000000001</v>
      </c>
      <c r="D195" s="116"/>
      <c r="E195" s="228">
        <v>26992.69</v>
      </c>
      <c r="F195" s="116"/>
      <c r="G195" s="116"/>
    </row>
    <row r="196" spans="1:7" ht="16.5">
      <c r="A196" s="227" t="s">
        <v>393</v>
      </c>
      <c r="B196" s="227" t="s">
        <v>748</v>
      </c>
      <c r="C196" s="228">
        <v>472621.27</v>
      </c>
      <c r="D196" s="228">
        <v>12639</v>
      </c>
      <c r="E196" s="228">
        <v>67141</v>
      </c>
      <c r="F196" s="116"/>
      <c r="G196" s="116"/>
    </row>
    <row r="197" spans="1:7" ht="16.5">
      <c r="A197" s="227" t="s">
        <v>395</v>
      </c>
      <c r="B197" s="227" t="s">
        <v>749</v>
      </c>
      <c r="C197" s="228">
        <v>18787994.590000004</v>
      </c>
      <c r="D197" s="228">
        <v>366105.02</v>
      </c>
      <c r="E197" s="228">
        <v>1888847.0000000002</v>
      </c>
      <c r="F197" s="116"/>
      <c r="G197" s="116"/>
    </row>
    <row r="198" spans="1:7" ht="16.5">
      <c r="A198" s="227" t="s">
        <v>1515</v>
      </c>
      <c r="B198" s="227" t="s">
        <v>1780</v>
      </c>
      <c r="C198" s="228">
        <v>133832.04999999999</v>
      </c>
      <c r="D198" s="228">
        <v>4259.4799999999996</v>
      </c>
      <c r="E198" s="228">
        <v>18512.52</v>
      </c>
      <c r="F198" s="116"/>
      <c r="G198" s="116"/>
    </row>
    <row r="199" spans="1:7" ht="16.5">
      <c r="A199" s="227" t="s">
        <v>397</v>
      </c>
      <c r="B199" s="227" t="s">
        <v>750</v>
      </c>
      <c r="C199" s="228">
        <v>1603658.9299999997</v>
      </c>
      <c r="D199" s="228">
        <v>34122</v>
      </c>
      <c r="E199" s="228">
        <v>214757.54</v>
      </c>
      <c r="F199" s="116"/>
      <c r="G199" s="116"/>
    </row>
    <row r="200" spans="1:7" ht="16.5">
      <c r="A200" s="227" t="s">
        <v>399</v>
      </c>
      <c r="B200" s="227" t="s">
        <v>751</v>
      </c>
      <c r="C200" s="228">
        <v>527611.34</v>
      </c>
      <c r="D200" s="228">
        <v>17183</v>
      </c>
      <c r="E200" s="228">
        <v>75366.11</v>
      </c>
      <c r="F200" s="116"/>
      <c r="G200" s="116"/>
    </row>
    <row r="201" spans="1:7" ht="16.5">
      <c r="A201" s="227" t="s">
        <v>401</v>
      </c>
      <c r="B201" s="227" t="s">
        <v>752</v>
      </c>
      <c r="C201" s="228">
        <v>7557182.0300000012</v>
      </c>
      <c r="D201" s="228">
        <v>111549</v>
      </c>
      <c r="E201" s="228">
        <v>1023148.6399999999</v>
      </c>
      <c r="F201" s="116"/>
      <c r="G201" s="228">
        <v>15045.720000000001</v>
      </c>
    </row>
    <row r="202" spans="1:7" ht="16.5">
      <c r="A202" s="227" t="s">
        <v>384</v>
      </c>
      <c r="B202" s="227" t="s">
        <v>753</v>
      </c>
      <c r="C202" s="228">
        <v>2556044.9300000002</v>
      </c>
      <c r="D202" s="228">
        <v>57927</v>
      </c>
      <c r="E202" s="228">
        <v>300797.68</v>
      </c>
      <c r="F202" s="116"/>
      <c r="G202" s="116"/>
    </row>
    <row r="203" spans="1:7" ht="16.5">
      <c r="A203" s="227" t="s">
        <v>386</v>
      </c>
      <c r="B203" s="227" t="s">
        <v>754</v>
      </c>
      <c r="C203" s="228">
        <v>381065.44</v>
      </c>
      <c r="D203" s="116"/>
      <c r="E203" s="228">
        <v>84443.830000000016</v>
      </c>
      <c r="F203" s="116"/>
      <c r="G203" s="116"/>
    </row>
    <row r="204" spans="1:7" ht="16.5">
      <c r="A204" s="227" t="s">
        <v>936</v>
      </c>
      <c r="B204" s="227" t="s">
        <v>1517</v>
      </c>
      <c r="C204" s="228">
        <v>721482.86</v>
      </c>
      <c r="D204" s="228">
        <v>34742</v>
      </c>
      <c r="E204" s="228">
        <v>118823.45999999999</v>
      </c>
      <c r="F204" s="116"/>
      <c r="G204" s="116"/>
    </row>
    <row r="205" spans="1:7" ht="16.5">
      <c r="A205" s="227" t="s">
        <v>348</v>
      </c>
      <c r="B205" s="227" t="s">
        <v>755</v>
      </c>
      <c r="C205" s="228">
        <v>3635962.45</v>
      </c>
      <c r="D205" s="228">
        <v>136732.29</v>
      </c>
      <c r="E205" s="228">
        <v>525595.07000000007</v>
      </c>
      <c r="F205" s="116"/>
      <c r="G205" s="116"/>
    </row>
    <row r="206" spans="1:7" ht="16.5">
      <c r="A206" s="227" t="s">
        <v>350</v>
      </c>
      <c r="B206" s="227" t="s">
        <v>756</v>
      </c>
      <c r="C206" s="228">
        <v>3622682.22</v>
      </c>
      <c r="D206" s="228">
        <v>32221.870000000003</v>
      </c>
      <c r="E206" s="228">
        <v>435093.6700000001</v>
      </c>
      <c r="F206" s="116"/>
      <c r="G206" s="116"/>
    </row>
    <row r="207" spans="1:7" ht="16.5">
      <c r="A207" s="227" t="s">
        <v>1518</v>
      </c>
      <c r="B207" s="227" t="s">
        <v>1806</v>
      </c>
      <c r="C207" s="228">
        <v>117961.72000000002</v>
      </c>
      <c r="D207" s="228">
        <v>3051</v>
      </c>
      <c r="E207" s="228">
        <v>16710.91</v>
      </c>
      <c r="F207" s="116"/>
      <c r="G207" s="116"/>
    </row>
    <row r="208" spans="1:7" ht="16.5">
      <c r="A208" s="227" t="s">
        <v>352</v>
      </c>
      <c r="B208" s="227" t="s">
        <v>757</v>
      </c>
      <c r="C208" s="228">
        <v>40637934.359999999</v>
      </c>
      <c r="D208" s="228">
        <v>1104895.8999999999</v>
      </c>
      <c r="E208" s="228">
        <v>4456740.9799999995</v>
      </c>
      <c r="F208" s="116"/>
      <c r="G208" s="116"/>
    </row>
    <row r="209" spans="1:7" ht="16.5">
      <c r="A209" s="227" t="s">
        <v>354</v>
      </c>
      <c r="B209" s="227" t="s">
        <v>758</v>
      </c>
      <c r="C209" s="228">
        <v>103844.74</v>
      </c>
      <c r="D209" s="228">
        <v>1281.01</v>
      </c>
      <c r="E209" s="228">
        <v>6751.2</v>
      </c>
      <c r="F209" s="116"/>
      <c r="G209" s="228">
        <v>8165.66</v>
      </c>
    </row>
    <row r="210" spans="1:7" ht="16.5">
      <c r="A210" s="227" t="s">
        <v>67</v>
      </c>
      <c r="B210" s="227" t="s">
        <v>759</v>
      </c>
      <c r="C210" s="228">
        <v>806732.91</v>
      </c>
      <c r="D210" s="228">
        <v>15149.43</v>
      </c>
      <c r="E210" s="228">
        <v>114506</v>
      </c>
      <c r="F210" s="116"/>
      <c r="G210" s="116"/>
    </row>
    <row r="211" spans="1:7" ht="16.5">
      <c r="A211" s="227" t="s">
        <v>940</v>
      </c>
      <c r="B211" s="227" t="s">
        <v>1781</v>
      </c>
      <c r="C211" s="228">
        <v>272304.90999999997</v>
      </c>
      <c r="D211" s="116"/>
      <c r="E211" s="116"/>
      <c r="F211" s="116"/>
      <c r="G211" s="116"/>
    </row>
    <row r="212" spans="1:7" ht="16.5">
      <c r="A212" s="227" t="s">
        <v>243</v>
      </c>
      <c r="B212" s="227" t="s">
        <v>760</v>
      </c>
      <c r="C212" s="228">
        <v>5012344.2999999989</v>
      </c>
      <c r="D212" s="228">
        <v>156411.20000000001</v>
      </c>
      <c r="E212" s="228">
        <v>561968.81999999995</v>
      </c>
      <c r="F212" s="116"/>
      <c r="G212" s="116"/>
    </row>
    <row r="213" spans="1:7" ht="16.5">
      <c r="A213" s="227" t="s">
        <v>245</v>
      </c>
      <c r="B213" s="227" t="s">
        <v>1783</v>
      </c>
      <c r="C213" s="228">
        <v>318397.19</v>
      </c>
      <c r="D213" s="116"/>
      <c r="E213" s="116"/>
      <c r="F213" s="116"/>
      <c r="G213" s="228">
        <v>6887</v>
      </c>
    </row>
    <row r="214" spans="1:7" ht="16.5">
      <c r="A214" s="227" t="s">
        <v>362</v>
      </c>
      <c r="B214" s="227" t="s">
        <v>761</v>
      </c>
      <c r="C214" s="228">
        <v>4718222.43</v>
      </c>
      <c r="D214" s="228">
        <v>162003</v>
      </c>
      <c r="E214" s="228">
        <v>551014.32999999996</v>
      </c>
      <c r="F214" s="116"/>
      <c r="G214" s="116"/>
    </row>
    <row r="215" spans="1:7" ht="16.5">
      <c r="A215" s="227" t="s">
        <v>364</v>
      </c>
      <c r="B215" s="227" t="s">
        <v>762</v>
      </c>
      <c r="C215" s="228">
        <v>1270856.8399999999</v>
      </c>
      <c r="D215" s="116"/>
      <c r="E215" s="228">
        <v>244985.39</v>
      </c>
      <c r="F215" s="116"/>
      <c r="G215" s="116"/>
    </row>
    <row r="216" spans="1:7" ht="16.5">
      <c r="A216" s="227" t="s">
        <v>935</v>
      </c>
      <c r="B216" s="227" t="s">
        <v>1520</v>
      </c>
      <c r="C216" s="228">
        <v>460791.13000000006</v>
      </c>
      <c r="D216" s="116"/>
      <c r="E216" s="228">
        <v>78946.28</v>
      </c>
      <c r="F216" s="116"/>
      <c r="G216" s="116"/>
    </row>
    <row r="217" spans="1:7" ht="16.5">
      <c r="A217" s="227" t="s">
        <v>366</v>
      </c>
      <c r="B217" s="227" t="s">
        <v>763</v>
      </c>
      <c r="C217" s="228">
        <v>675730.10000000009</v>
      </c>
      <c r="D217" s="116"/>
      <c r="E217" s="116"/>
      <c r="F217" s="116"/>
      <c r="G217" s="116"/>
    </row>
    <row r="218" spans="1:7" ht="16.5">
      <c r="A218" s="227" t="s">
        <v>368</v>
      </c>
      <c r="B218" s="227" t="s">
        <v>1789</v>
      </c>
      <c r="C218" s="228">
        <v>728357.83000000007</v>
      </c>
      <c r="D218" s="228">
        <v>36522</v>
      </c>
      <c r="E218" s="228">
        <v>130168.40999999999</v>
      </c>
      <c r="F218" s="116"/>
      <c r="G218" s="116"/>
    </row>
    <row r="219" spans="1:7" ht="16.5">
      <c r="A219" s="227" t="s">
        <v>370</v>
      </c>
      <c r="B219" s="227" t="s">
        <v>765</v>
      </c>
      <c r="C219" s="228">
        <v>39296134.219999999</v>
      </c>
      <c r="D219" s="116"/>
      <c r="E219" s="228">
        <v>3344848.0500000003</v>
      </c>
      <c r="F219" s="116"/>
      <c r="G219" s="116"/>
    </row>
    <row r="220" spans="1:7" ht="16.5">
      <c r="A220" s="227" t="s">
        <v>372</v>
      </c>
      <c r="B220" s="227" t="s">
        <v>766</v>
      </c>
      <c r="C220" s="228">
        <v>439668.27999999997</v>
      </c>
      <c r="D220" s="116"/>
      <c r="E220" s="228">
        <v>80287.92</v>
      </c>
      <c r="F220" s="116"/>
      <c r="G220" s="116"/>
    </row>
    <row r="221" spans="1:7" ht="16.5">
      <c r="A221" s="227" t="s">
        <v>374</v>
      </c>
      <c r="B221" s="227" t="s">
        <v>767</v>
      </c>
      <c r="C221" s="228">
        <v>23071557.530000001</v>
      </c>
      <c r="D221" s="228">
        <v>475515.59</v>
      </c>
      <c r="E221" s="228">
        <v>2444859.87</v>
      </c>
      <c r="F221" s="116"/>
      <c r="G221" s="116"/>
    </row>
    <row r="222" spans="1:7" ht="16.5">
      <c r="A222" s="227" t="s">
        <v>376</v>
      </c>
      <c r="B222" s="227" t="s">
        <v>918</v>
      </c>
      <c r="C222" s="228">
        <v>5075939.0600000005</v>
      </c>
      <c r="D222" s="228">
        <v>122858.4</v>
      </c>
      <c r="E222" s="228">
        <v>547572.41</v>
      </c>
      <c r="F222" s="116"/>
      <c r="G222" s="116"/>
    </row>
    <row r="223" spans="1:7" ht="16.5">
      <c r="A223" s="227" t="s">
        <v>378</v>
      </c>
      <c r="B223" s="227" t="s">
        <v>768</v>
      </c>
      <c r="C223" s="228">
        <v>340456.36</v>
      </c>
      <c r="D223" s="116"/>
      <c r="E223" s="228">
        <v>73543.520000000004</v>
      </c>
      <c r="F223" s="116"/>
      <c r="G223" s="116"/>
    </row>
    <row r="224" spans="1:7" ht="16.5">
      <c r="A224" s="227" t="s">
        <v>380</v>
      </c>
      <c r="B224" s="227" t="s">
        <v>769</v>
      </c>
      <c r="C224" s="228">
        <v>2101961.7200000002</v>
      </c>
      <c r="D224" s="116"/>
      <c r="E224" s="228">
        <v>377872.78</v>
      </c>
      <c r="F224" s="116"/>
      <c r="G224" s="116"/>
    </row>
    <row r="225" spans="1:7" ht="16.5">
      <c r="A225" s="227" t="s">
        <v>382</v>
      </c>
      <c r="B225" s="227" t="s">
        <v>770</v>
      </c>
      <c r="C225" s="228">
        <v>4717770.1399999997</v>
      </c>
      <c r="D225" s="116"/>
      <c r="E225" s="228">
        <v>631659.17000000004</v>
      </c>
      <c r="F225" s="116"/>
      <c r="G225" s="116"/>
    </row>
    <row r="226" spans="1:7" ht="16.5">
      <c r="A226" s="227" t="s">
        <v>270</v>
      </c>
      <c r="B226" s="227" t="s">
        <v>771</v>
      </c>
      <c r="C226" s="228">
        <v>4571363.1100000003</v>
      </c>
      <c r="D226" s="228">
        <v>55791.429999999993</v>
      </c>
      <c r="E226" s="228">
        <v>701145.63</v>
      </c>
      <c r="F226" s="116"/>
      <c r="G226" s="116"/>
    </row>
    <row r="227" spans="1:7" ht="16.5">
      <c r="A227" s="227" t="s">
        <v>272</v>
      </c>
      <c r="B227" s="227" t="s">
        <v>919</v>
      </c>
      <c r="C227" s="228">
        <v>52937.56</v>
      </c>
      <c r="D227" s="116"/>
      <c r="E227" s="116"/>
      <c r="F227" s="116"/>
      <c r="G227" s="116"/>
    </row>
    <row r="228" spans="1:7" ht="16.5">
      <c r="A228" s="227" t="s">
        <v>274</v>
      </c>
      <c r="B228" s="227" t="s">
        <v>772</v>
      </c>
      <c r="C228" s="228">
        <v>251143.99000000002</v>
      </c>
      <c r="D228" s="116"/>
      <c r="E228" s="228">
        <v>45603.28</v>
      </c>
      <c r="F228" s="116"/>
      <c r="G228" s="116"/>
    </row>
    <row r="229" spans="1:7" ht="16.5">
      <c r="A229" s="227" t="s">
        <v>276</v>
      </c>
      <c r="B229" s="227" t="s">
        <v>773</v>
      </c>
      <c r="C229" s="228">
        <v>2139684.0499999998</v>
      </c>
      <c r="D229" s="116"/>
      <c r="E229" s="228">
        <v>302275.82</v>
      </c>
      <c r="F229" s="116"/>
      <c r="G229" s="116"/>
    </row>
    <row r="230" spans="1:7" ht="16.5">
      <c r="A230" s="227" t="s">
        <v>961</v>
      </c>
      <c r="B230" s="227" t="s">
        <v>1784</v>
      </c>
      <c r="C230" s="228">
        <v>487519.56</v>
      </c>
      <c r="D230" s="228">
        <v>10500</v>
      </c>
      <c r="E230" s="228">
        <v>91799</v>
      </c>
      <c r="F230" s="116"/>
      <c r="G230" s="116"/>
    </row>
    <row r="231" spans="1:7" ht="16.5">
      <c r="A231" s="227" t="s">
        <v>546</v>
      </c>
      <c r="B231" s="227" t="s">
        <v>853</v>
      </c>
      <c r="C231" s="228">
        <v>1879308.8699999996</v>
      </c>
      <c r="D231" s="228">
        <v>40836.519999999997</v>
      </c>
      <c r="E231" s="228">
        <v>181840</v>
      </c>
      <c r="F231" s="116"/>
      <c r="G231" s="116"/>
    </row>
    <row r="232" spans="1:7" ht="16.5">
      <c r="A232" s="227" t="s">
        <v>547</v>
      </c>
      <c r="B232" s="227" t="s">
        <v>774</v>
      </c>
      <c r="C232" s="228">
        <v>88341.9</v>
      </c>
      <c r="D232" s="116"/>
      <c r="E232" s="228">
        <v>13341.04</v>
      </c>
      <c r="F232" s="116"/>
      <c r="G232" s="116"/>
    </row>
    <row r="233" spans="1:7" ht="16.5">
      <c r="A233" s="227" t="s">
        <v>549</v>
      </c>
      <c r="B233" s="227" t="s">
        <v>775</v>
      </c>
      <c r="C233" s="228">
        <v>174252902.26999998</v>
      </c>
      <c r="D233" s="228">
        <v>170041.89</v>
      </c>
      <c r="E233" s="228">
        <v>12554429.470000001</v>
      </c>
      <c r="F233" s="116"/>
      <c r="G233" s="116"/>
    </row>
    <row r="234" spans="1:7" ht="16.5">
      <c r="A234" s="227" t="s">
        <v>551</v>
      </c>
      <c r="B234" s="227" t="s">
        <v>1795</v>
      </c>
      <c r="C234" s="228">
        <v>12292800.039999999</v>
      </c>
      <c r="D234" s="228">
        <v>187912.13</v>
      </c>
      <c r="E234" s="228">
        <v>989348.92999999993</v>
      </c>
      <c r="F234" s="116"/>
      <c r="G234" s="116"/>
    </row>
    <row r="235" spans="1:7" ht="16.5">
      <c r="A235" s="227" t="s">
        <v>553</v>
      </c>
      <c r="B235" s="227" t="s">
        <v>776</v>
      </c>
      <c r="C235" s="228">
        <v>5091657.2300000004</v>
      </c>
      <c r="D235" s="228">
        <v>70759.51999999999</v>
      </c>
      <c r="E235" s="228">
        <v>768630.8</v>
      </c>
      <c r="F235" s="116"/>
      <c r="G235" s="116"/>
    </row>
    <row r="236" spans="1:7" ht="16.5">
      <c r="A236" s="227" t="s">
        <v>555</v>
      </c>
      <c r="B236" s="227" t="s">
        <v>777</v>
      </c>
      <c r="C236" s="228">
        <v>389013.81</v>
      </c>
      <c r="D236" s="116"/>
      <c r="E236" s="228">
        <v>72969.61</v>
      </c>
      <c r="F236" s="116"/>
      <c r="G236" s="116"/>
    </row>
    <row r="237" spans="1:7" ht="16.5">
      <c r="A237" s="227" t="s">
        <v>557</v>
      </c>
      <c r="B237" s="227" t="s">
        <v>778</v>
      </c>
      <c r="C237" s="228">
        <v>5517405.0900000008</v>
      </c>
      <c r="D237" s="228">
        <v>174952.14</v>
      </c>
      <c r="E237" s="228">
        <v>795326.52999999991</v>
      </c>
      <c r="F237" s="116"/>
      <c r="G237" s="116"/>
    </row>
    <row r="238" spans="1:7" ht="16.5">
      <c r="A238" s="227" t="s">
        <v>561</v>
      </c>
      <c r="B238" s="227" t="s">
        <v>780</v>
      </c>
      <c r="C238" s="228">
        <v>7995032.1100000003</v>
      </c>
      <c r="D238" s="228">
        <v>77878.25</v>
      </c>
      <c r="E238" s="228">
        <v>950415.65</v>
      </c>
      <c r="F238" s="116"/>
      <c r="G238" s="116"/>
    </row>
    <row r="239" spans="1:7" ht="16.5">
      <c r="A239" s="227" t="s">
        <v>563</v>
      </c>
      <c r="B239" s="227" t="s">
        <v>781</v>
      </c>
      <c r="C239" s="228">
        <v>22093609.050000001</v>
      </c>
      <c r="D239" s="228">
        <v>426815.65</v>
      </c>
      <c r="E239" s="228">
        <v>2367836.3699999996</v>
      </c>
      <c r="F239" s="228">
        <v>0.01</v>
      </c>
      <c r="G239" s="116"/>
    </row>
    <row r="240" spans="1:7" ht="16.5">
      <c r="A240" s="227" t="s">
        <v>565</v>
      </c>
      <c r="B240" s="227" t="s">
        <v>920</v>
      </c>
      <c r="C240" s="228">
        <v>90508.21</v>
      </c>
      <c r="D240" s="116"/>
      <c r="E240" s="116"/>
      <c r="F240" s="116"/>
      <c r="G240" s="116"/>
    </row>
    <row r="241" spans="1:7" ht="16.5">
      <c r="A241" s="227" t="s">
        <v>77</v>
      </c>
      <c r="B241" s="227" t="s">
        <v>782</v>
      </c>
      <c r="C241" s="228">
        <v>204724.08000000002</v>
      </c>
      <c r="D241" s="116"/>
      <c r="E241" s="228">
        <v>27740.09</v>
      </c>
      <c r="F241" s="116"/>
      <c r="G241" s="116"/>
    </row>
    <row r="242" spans="1:7" ht="16.5">
      <c r="A242" s="227" t="s">
        <v>79</v>
      </c>
      <c r="B242" s="227" t="s">
        <v>783</v>
      </c>
      <c r="C242" s="228">
        <v>19829204.690000001</v>
      </c>
      <c r="D242" s="228">
        <v>4203.6099999999997</v>
      </c>
      <c r="E242" s="228">
        <v>1872823</v>
      </c>
      <c r="F242" s="116"/>
      <c r="G242" s="116"/>
    </row>
    <row r="243" spans="1:7" ht="16.5">
      <c r="A243" s="227" t="s">
        <v>81</v>
      </c>
      <c r="B243" s="227" t="s">
        <v>784</v>
      </c>
      <c r="C243" s="228">
        <v>13687425.860000001</v>
      </c>
      <c r="D243" s="116"/>
      <c r="E243" s="228">
        <v>1207390.2400000002</v>
      </c>
      <c r="F243" s="116"/>
      <c r="G243" s="116"/>
    </row>
    <row r="244" spans="1:7" ht="16.5">
      <c r="A244" s="227" t="s">
        <v>83</v>
      </c>
      <c r="B244" s="227" t="s">
        <v>785</v>
      </c>
      <c r="C244" s="228">
        <v>857778.69000000018</v>
      </c>
      <c r="D244" s="116"/>
      <c r="E244" s="228">
        <v>108964</v>
      </c>
      <c r="F244" s="116"/>
      <c r="G244" s="116"/>
    </row>
    <row r="245" spans="1:7" ht="16.5">
      <c r="A245" s="227" t="s">
        <v>85</v>
      </c>
      <c r="B245" s="227" t="s">
        <v>786</v>
      </c>
      <c r="C245" s="228">
        <v>877858.85000000009</v>
      </c>
      <c r="D245" s="228">
        <v>28228</v>
      </c>
      <c r="E245" s="228">
        <v>134010.31</v>
      </c>
      <c r="F245" s="116"/>
      <c r="G245" s="116"/>
    </row>
    <row r="246" spans="1:7" ht="16.5">
      <c r="A246" s="227" t="s">
        <v>567</v>
      </c>
      <c r="B246" s="227" t="s">
        <v>787</v>
      </c>
      <c r="C246" s="228">
        <v>23339021.350000001</v>
      </c>
      <c r="D246" s="228">
        <v>495764</v>
      </c>
      <c r="E246" s="228">
        <v>2251488</v>
      </c>
      <c r="F246" s="116"/>
      <c r="G246" s="228">
        <v>869376.25</v>
      </c>
    </row>
    <row r="247" spans="1:7" ht="16.5">
      <c r="A247" s="227" t="s">
        <v>569</v>
      </c>
      <c r="B247" s="227" t="s">
        <v>788</v>
      </c>
      <c r="C247" s="228">
        <v>2683531.8499999996</v>
      </c>
      <c r="D247" s="116"/>
      <c r="E247" s="228">
        <v>313842.53000000003</v>
      </c>
      <c r="F247" s="116"/>
      <c r="G247" s="116"/>
    </row>
    <row r="248" spans="1:7" ht="16.5">
      <c r="A248" s="227" t="s">
        <v>571</v>
      </c>
      <c r="B248" s="227" t="s">
        <v>789</v>
      </c>
      <c r="C248" s="228">
        <v>291322.62</v>
      </c>
      <c r="D248" s="116"/>
      <c r="E248" s="228">
        <v>22328.42</v>
      </c>
      <c r="F248" s="116"/>
      <c r="G248" s="116"/>
    </row>
    <row r="249" spans="1:7" ht="16.5">
      <c r="A249" s="227" t="s">
        <v>573</v>
      </c>
      <c r="B249" s="227" t="s">
        <v>790</v>
      </c>
      <c r="C249" s="228">
        <v>58033642.019999996</v>
      </c>
      <c r="D249" s="228">
        <v>1607937.03</v>
      </c>
      <c r="E249" s="228">
        <v>6515542.7800000003</v>
      </c>
      <c r="F249" s="116"/>
      <c r="G249" s="116"/>
    </row>
    <row r="250" spans="1:7" ht="16.5">
      <c r="A250" s="227" t="s">
        <v>937</v>
      </c>
      <c r="B250" s="227" t="s">
        <v>1798</v>
      </c>
      <c r="C250" s="228">
        <v>678447.86999999988</v>
      </c>
      <c r="D250" s="116"/>
      <c r="E250" s="228">
        <v>64988.85</v>
      </c>
      <c r="F250" s="116"/>
      <c r="G250" s="116"/>
    </row>
    <row r="251" spans="1:7" ht="16.5">
      <c r="A251" s="227" t="s">
        <v>541</v>
      </c>
      <c r="B251" s="227" t="s">
        <v>791</v>
      </c>
      <c r="C251" s="228">
        <v>166823.66999999998</v>
      </c>
      <c r="D251" s="228">
        <v>3671</v>
      </c>
      <c r="E251" s="228">
        <v>19540</v>
      </c>
      <c r="F251" s="116"/>
      <c r="G251" s="116"/>
    </row>
    <row r="252" spans="1:7" ht="16.5">
      <c r="A252" s="227" t="s">
        <v>543</v>
      </c>
      <c r="B252" s="227" t="s">
        <v>854</v>
      </c>
      <c r="C252" s="228">
        <v>170870.33</v>
      </c>
      <c r="D252" s="116"/>
      <c r="E252" s="228">
        <v>39462</v>
      </c>
      <c r="F252" s="116"/>
      <c r="G252" s="116"/>
    </row>
    <row r="253" spans="1:7" ht="16.5">
      <c r="A253" s="227" t="s">
        <v>57</v>
      </c>
      <c r="B253" s="227" t="s">
        <v>1797</v>
      </c>
      <c r="C253" s="228">
        <v>12429947.229999999</v>
      </c>
      <c r="D253" s="228">
        <v>208556.12</v>
      </c>
      <c r="E253" s="228">
        <v>993729.7</v>
      </c>
      <c r="F253" s="116"/>
      <c r="G253" s="116"/>
    </row>
    <row r="254" spans="1:7" ht="16.5">
      <c r="A254" s="227" t="s">
        <v>61</v>
      </c>
      <c r="B254" s="227" t="s">
        <v>794</v>
      </c>
      <c r="C254" s="228">
        <v>271237.99000000005</v>
      </c>
      <c r="D254" s="116"/>
      <c r="E254" s="228">
        <v>5643</v>
      </c>
      <c r="F254" s="116"/>
      <c r="G254" s="116"/>
    </row>
    <row r="255" spans="1:7" ht="16.5">
      <c r="A255" s="227" t="s">
        <v>65</v>
      </c>
      <c r="B255" s="227" t="s">
        <v>855</v>
      </c>
      <c r="C255" s="228">
        <v>5816478.3100000005</v>
      </c>
      <c r="D255" s="228">
        <v>80970.009999999995</v>
      </c>
      <c r="E255" s="228">
        <v>527644.65</v>
      </c>
      <c r="F255" s="116"/>
      <c r="G255" s="116"/>
    </row>
    <row r="256" spans="1:7" ht="16.5">
      <c r="A256" s="227" t="s">
        <v>66</v>
      </c>
      <c r="B256" s="227" t="s">
        <v>796</v>
      </c>
      <c r="C256" s="228">
        <v>48793.69</v>
      </c>
      <c r="D256" s="228">
        <v>2560</v>
      </c>
      <c r="E256" s="228">
        <v>10255</v>
      </c>
      <c r="F256" s="116"/>
      <c r="G256" s="116"/>
    </row>
    <row r="257" spans="1:7" ht="16.5">
      <c r="A257" s="227" t="s">
        <v>5</v>
      </c>
      <c r="B257" s="227" t="s">
        <v>922</v>
      </c>
      <c r="C257" s="228">
        <v>1350476.42</v>
      </c>
      <c r="D257" s="116"/>
      <c r="E257" s="116"/>
      <c r="F257" s="116"/>
      <c r="G257" s="116"/>
    </row>
    <row r="258" spans="1:7" ht="16.5">
      <c r="A258" s="227" t="s">
        <v>7</v>
      </c>
      <c r="B258" s="227" t="s">
        <v>797</v>
      </c>
      <c r="C258" s="228">
        <v>4399572.7699999986</v>
      </c>
      <c r="D258" s="116"/>
      <c r="E258" s="228">
        <v>414164.10000000003</v>
      </c>
      <c r="F258" s="116"/>
      <c r="G258" s="116"/>
    </row>
    <row r="259" spans="1:7" ht="16.5">
      <c r="A259" s="227" t="s">
        <v>954</v>
      </c>
      <c r="B259" s="227" t="s">
        <v>1524</v>
      </c>
      <c r="C259" s="228">
        <v>762191.82000000007</v>
      </c>
      <c r="D259" s="228">
        <v>23201</v>
      </c>
      <c r="E259" s="228">
        <v>167441</v>
      </c>
      <c r="F259" s="116"/>
      <c r="G259" s="116"/>
    </row>
    <row r="260" spans="1:7" ht="16.5">
      <c r="A260" s="227" t="s">
        <v>934</v>
      </c>
      <c r="B260" s="227" t="s">
        <v>1525</v>
      </c>
      <c r="C260" s="228">
        <v>315147.05</v>
      </c>
      <c r="D260" s="228">
        <v>9657</v>
      </c>
      <c r="E260" s="228">
        <v>43064</v>
      </c>
      <c r="F260" s="116"/>
      <c r="G260" s="116"/>
    </row>
    <row r="261" spans="1:7" ht="16.5">
      <c r="A261" s="227" t="s">
        <v>933</v>
      </c>
      <c r="B261" s="227" t="s">
        <v>1526</v>
      </c>
      <c r="C261" s="228">
        <v>409826.18000000005</v>
      </c>
      <c r="D261" s="228">
        <v>16795</v>
      </c>
      <c r="E261" s="228">
        <v>61840</v>
      </c>
      <c r="F261" s="116"/>
      <c r="G261" s="116"/>
    </row>
    <row r="262" spans="1:7" ht="16.5">
      <c r="A262" s="227" t="s">
        <v>9</v>
      </c>
      <c r="B262" s="227" t="s">
        <v>798</v>
      </c>
      <c r="C262" s="228">
        <v>81538.849999999991</v>
      </c>
      <c r="D262" s="116"/>
      <c r="E262" s="228">
        <v>12355.24</v>
      </c>
      <c r="F262" s="116"/>
      <c r="G262" s="116"/>
    </row>
    <row r="263" spans="1:7" ht="16.5">
      <c r="A263" s="227" t="s">
        <v>246</v>
      </c>
      <c r="B263" s="227" t="s">
        <v>799</v>
      </c>
      <c r="C263" s="228">
        <v>18135520.530000001</v>
      </c>
      <c r="D263" s="228">
        <v>282789.55000000005</v>
      </c>
      <c r="E263" s="228">
        <v>1748166.58</v>
      </c>
      <c r="F263" s="116"/>
      <c r="G263" s="116"/>
    </row>
    <row r="264" spans="1:7" ht="16.5">
      <c r="A264" s="227" t="s">
        <v>248</v>
      </c>
      <c r="B264" s="227" t="s">
        <v>800</v>
      </c>
      <c r="C264" s="228">
        <v>10164619.890000004</v>
      </c>
      <c r="D264" s="228">
        <v>53988.07</v>
      </c>
      <c r="E264" s="228">
        <v>1295718.6499999999</v>
      </c>
      <c r="F264" s="116"/>
      <c r="G264" s="116"/>
    </row>
    <row r="265" spans="1:7" ht="16.5">
      <c r="A265" s="227" t="s">
        <v>881</v>
      </c>
      <c r="B265" s="227" t="s">
        <v>1788</v>
      </c>
      <c r="C265" s="228">
        <v>165231.38</v>
      </c>
      <c r="D265" s="116"/>
      <c r="E265" s="228">
        <v>71869.039999999994</v>
      </c>
      <c r="F265" s="116"/>
      <c r="G265" s="116"/>
    </row>
    <row r="266" spans="1:7" ht="16.5">
      <c r="A266" s="227" t="s">
        <v>250</v>
      </c>
      <c r="B266" s="227" t="s">
        <v>801</v>
      </c>
      <c r="C266" s="228">
        <v>53121593.940000013</v>
      </c>
      <c r="D266" s="228">
        <v>178293.13999999998</v>
      </c>
      <c r="E266" s="228">
        <v>7221783.5199999996</v>
      </c>
      <c r="F266" s="116"/>
      <c r="G266" s="116"/>
    </row>
    <row r="267" spans="1:7" ht="16.5">
      <c r="A267" s="227" t="s">
        <v>252</v>
      </c>
      <c r="B267" s="227" t="s">
        <v>802</v>
      </c>
      <c r="C267" s="228">
        <v>245050.43</v>
      </c>
      <c r="D267" s="116"/>
      <c r="E267" s="228">
        <v>43652.31</v>
      </c>
      <c r="F267" s="116"/>
      <c r="G267" s="228">
        <v>44051.65</v>
      </c>
    </row>
    <row r="268" spans="1:7" ht="16.5">
      <c r="A268" s="227" t="s">
        <v>254</v>
      </c>
      <c r="B268" s="227" t="s">
        <v>803</v>
      </c>
      <c r="C268" s="228">
        <v>20385028.429999996</v>
      </c>
      <c r="D268" s="228">
        <v>4694.1100000000006</v>
      </c>
      <c r="E268" s="228">
        <v>2426521.1</v>
      </c>
      <c r="F268" s="116"/>
      <c r="G268" s="116"/>
    </row>
    <row r="269" spans="1:7" ht="16.5">
      <c r="A269" s="227" t="s">
        <v>256</v>
      </c>
      <c r="B269" s="227" t="s">
        <v>804</v>
      </c>
      <c r="C269" s="228">
        <v>344977.74000000005</v>
      </c>
      <c r="D269" s="116"/>
      <c r="E269" s="228">
        <v>46454</v>
      </c>
      <c r="F269" s="116"/>
      <c r="G269" s="116"/>
    </row>
    <row r="270" spans="1:7" ht="16.5">
      <c r="A270" s="227" t="s">
        <v>258</v>
      </c>
      <c r="B270" s="227" t="s">
        <v>805</v>
      </c>
      <c r="C270" s="228">
        <v>2040642.5500000005</v>
      </c>
      <c r="D270" s="116"/>
      <c r="E270" s="228">
        <v>286336.44</v>
      </c>
      <c r="F270" s="116"/>
      <c r="G270" s="116"/>
    </row>
    <row r="271" spans="1:7" ht="16.5">
      <c r="A271" s="227" t="s">
        <v>260</v>
      </c>
      <c r="B271" s="227" t="s">
        <v>806</v>
      </c>
      <c r="C271" s="228">
        <v>392291.15</v>
      </c>
      <c r="D271" s="116"/>
      <c r="E271" s="228">
        <v>52373.35</v>
      </c>
      <c r="F271" s="116"/>
      <c r="G271" s="116"/>
    </row>
    <row r="272" spans="1:7" ht="16.5">
      <c r="A272" s="227" t="s">
        <v>262</v>
      </c>
      <c r="B272" s="227" t="s">
        <v>807</v>
      </c>
      <c r="C272" s="228">
        <v>1860948.2799999998</v>
      </c>
      <c r="D272" s="228">
        <v>39570</v>
      </c>
      <c r="E272" s="228">
        <v>191816.00000000003</v>
      </c>
      <c r="F272" s="116"/>
      <c r="G272" s="116"/>
    </row>
    <row r="273" spans="1:7" ht="16.5">
      <c r="A273" s="227" t="s">
        <v>264</v>
      </c>
      <c r="B273" s="227" t="s">
        <v>808</v>
      </c>
      <c r="C273" s="228">
        <v>1149694.73</v>
      </c>
      <c r="D273" s="228">
        <v>58785.490000000005</v>
      </c>
      <c r="E273" s="228">
        <v>258666.31999999998</v>
      </c>
      <c r="F273" s="116"/>
      <c r="G273" s="116"/>
    </row>
    <row r="274" spans="1:7" ht="16.5">
      <c r="A274" s="227" t="s">
        <v>266</v>
      </c>
      <c r="B274" s="227" t="s">
        <v>809</v>
      </c>
      <c r="C274" s="228">
        <v>4440304.57</v>
      </c>
      <c r="D274" s="228">
        <v>257940.63</v>
      </c>
      <c r="E274" s="228">
        <v>762468.99</v>
      </c>
      <c r="F274" s="116"/>
      <c r="G274" s="228">
        <v>38801.54</v>
      </c>
    </row>
    <row r="275" spans="1:7" ht="16.5">
      <c r="A275" s="227" t="s">
        <v>268</v>
      </c>
      <c r="B275" s="227" t="s">
        <v>810</v>
      </c>
      <c r="C275" s="228">
        <v>247866.12000000002</v>
      </c>
      <c r="D275" s="228">
        <v>10126</v>
      </c>
      <c r="E275" s="228">
        <v>45116</v>
      </c>
      <c r="F275" s="116"/>
      <c r="G275" s="116"/>
    </row>
    <row r="276" spans="1:7" ht="16.5">
      <c r="A276" s="227" t="s">
        <v>185</v>
      </c>
      <c r="B276" s="227" t="s">
        <v>925</v>
      </c>
      <c r="C276" s="228">
        <v>1011805.92</v>
      </c>
      <c r="D276" s="116"/>
      <c r="E276" s="116"/>
      <c r="F276" s="116"/>
      <c r="G276" s="116"/>
    </row>
    <row r="277" spans="1:7" ht="16.5">
      <c r="A277" s="227" t="s">
        <v>187</v>
      </c>
      <c r="B277" s="227" t="s">
        <v>926</v>
      </c>
      <c r="C277" s="228">
        <v>174835.77</v>
      </c>
      <c r="D277" s="116"/>
      <c r="E277" s="116"/>
      <c r="F277" s="116"/>
      <c r="G277" s="116"/>
    </row>
    <row r="278" spans="1:7" ht="16.5">
      <c r="A278" s="227" t="s">
        <v>566</v>
      </c>
      <c r="B278" s="227" t="s">
        <v>811</v>
      </c>
      <c r="C278" s="228">
        <v>5987123.96</v>
      </c>
      <c r="D278" s="116"/>
      <c r="E278" s="228">
        <v>611691.92999999993</v>
      </c>
      <c r="F278" s="116"/>
      <c r="G278" s="116"/>
    </row>
    <row r="279" spans="1:7" ht="16.5">
      <c r="A279" s="227" t="s">
        <v>189</v>
      </c>
      <c r="B279" s="227" t="s">
        <v>812</v>
      </c>
      <c r="C279" s="228">
        <v>11718402.239999998</v>
      </c>
      <c r="D279" s="228">
        <v>291433</v>
      </c>
      <c r="E279" s="228">
        <v>1232986.52</v>
      </c>
      <c r="F279" s="116"/>
      <c r="G279" s="116"/>
    </row>
    <row r="280" spans="1:7" ht="16.5">
      <c r="A280" s="227" t="s">
        <v>191</v>
      </c>
      <c r="B280" s="227" t="s">
        <v>813</v>
      </c>
      <c r="C280" s="228">
        <v>643355.37000000011</v>
      </c>
      <c r="D280" s="116"/>
      <c r="E280" s="228">
        <v>161426.45000000001</v>
      </c>
      <c r="F280" s="116"/>
      <c r="G280" s="116"/>
    </row>
    <row r="281" spans="1:7" ht="16.5">
      <c r="A281" s="227" t="s">
        <v>193</v>
      </c>
      <c r="B281" s="227" t="s">
        <v>814</v>
      </c>
      <c r="C281" s="228">
        <v>10762118.380000001</v>
      </c>
      <c r="D281" s="228">
        <v>293598</v>
      </c>
      <c r="E281" s="228">
        <v>1134656.1499999997</v>
      </c>
      <c r="F281" s="116"/>
      <c r="G281" s="228">
        <v>13774</v>
      </c>
    </row>
    <row r="282" spans="1:7" ht="16.5">
      <c r="A282" s="227" t="s">
        <v>278</v>
      </c>
      <c r="B282" s="227" t="s">
        <v>856</v>
      </c>
      <c r="C282" s="228">
        <v>1130385.97</v>
      </c>
      <c r="D282" s="116"/>
      <c r="E282" s="228">
        <v>175312.00000000003</v>
      </c>
      <c r="F282" s="116"/>
      <c r="G282" s="116"/>
    </row>
    <row r="283" spans="1:7" ht="16.5">
      <c r="A283" s="227" t="s">
        <v>280</v>
      </c>
      <c r="B283" s="227" t="s">
        <v>815</v>
      </c>
      <c r="C283" s="228">
        <v>44185598.320000008</v>
      </c>
      <c r="D283" s="228">
        <v>1114550</v>
      </c>
      <c r="E283" s="228">
        <v>4602451</v>
      </c>
      <c r="F283" s="116"/>
      <c r="G283" s="116"/>
    </row>
    <row r="284" spans="1:7" ht="16.5">
      <c r="A284" s="227" t="s">
        <v>501</v>
      </c>
      <c r="B284" s="227" t="s">
        <v>816</v>
      </c>
      <c r="C284" s="228">
        <v>2709672.2399999988</v>
      </c>
      <c r="D284" s="228">
        <v>15040.26</v>
      </c>
      <c r="E284" s="228">
        <v>302689.99999999994</v>
      </c>
      <c r="F284" s="116"/>
      <c r="G284" s="116"/>
    </row>
    <row r="285" spans="1:7" ht="16.5">
      <c r="A285" s="227" t="s">
        <v>957</v>
      </c>
      <c r="B285" s="227" t="s">
        <v>1801</v>
      </c>
      <c r="C285" s="228">
        <v>120474.56</v>
      </c>
      <c r="D285" s="116"/>
      <c r="E285" s="116"/>
      <c r="F285" s="116"/>
      <c r="G285" s="116"/>
    </row>
    <row r="286" spans="1:7" ht="16.5">
      <c r="A286" s="227" t="s">
        <v>503</v>
      </c>
      <c r="B286" s="227" t="s">
        <v>927</v>
      </c>
      <c r="C286" s="228">
        <v>732218.66</v>
      </c>
      <c r="D286" s="116"/>
      <c r="E286" s="116"/>
      <c r="F286" s="116"/>
      <c r="G286" s="116"/>
    </row>
    <row r="287" spans="1:7" ht="16.5">
      <c r="A287" s="227" t="s">
        <v>505</v>
      </c>
      <c r="B287" s="227" t="s">
        <v>817</v>
      </c>
      <c r="C287" s="228">
        <v>3050258.34</v>
      </c>
      <c r="D287" s="228">
        <v>47596.659999999996</v>
      </c>
      <c r="E287" s="228">
        <v>309528.80000000005</v>
      </c>
      <c r="F287" s="116"/>
      <c r="G287" s="116"/>
    </row>
    <row r="288" spans="1:7" ht="16.5">
      <c r="A288" s="227" t="s">
        <v>507</v>
      </c>
      <c r="B288" s="227" t="s">
        <v>818</v>
      </c>
      <c r="C288" s="228">
        <v>235014.18</v>
      </c>
      <c r="D288" s="228">
        <v>12119</v>
      </c>
      <c r="E288" s="228">
        <v>57651</v>
      </c>
      <c r="F288" s="116"/>
      <c r="G288" s="116"/>
    </row>
    <row r="289" spans="1:7" ht="16.5">
      <c r="A289" s="227" t="s">
        <v>509</v>
      </c>
      <c r="B289" s="227" t="s">
        <v>819</v>
      </c>
      <c r="C289" s="228">
        <v>9103490.5600000024</v>
      </c>
      <c r="D289" s="228">
        <v>285130.39</v>
      </c>
      <c r="E289" s="228">
        <v>1179133.3199999998</v>
      </c>
      <c r="F289" s="116"/>
      <c r="G289" s="116"/>
    </row>
    <row r="290" spans="1:7" ht="16.5">
      <c r="A290" s="227" t="s">
        <v>511</v>
      </c>
      <c r="B290" s="227" t="s">
        <v>820</v>
      </c>
      <c r="C290" s="228">
        <v>4339975.3000000007</v>
      </c>
      <c r="D290" s="228">
        <v>29156.84</v>
      </c>
      <c r="E290" s="228">
        <v>866609.24</v>
      </c>
      <c r="F290" s="116"/>
      <c r="G290" s="228">
        <v>133737.5</v>
      </c>
    </row>
    <row r="291" spans="1:7" ht="16.5">
      <c r="A291" s="227" t="s">
        <v>32</v>
      </c>
      <c r="B291" s="227" t="s">
        <v>821</v>
      </c>
      <c r="C291" s="228">
        <v>1320849.29</v>
      </c>
      <c r="D291" s="228">
        <v>26454.370000000003</v>
      </c>
      <c r="E291" s="228">
        <v>222418.35</v>
      </c>
      <c r="F291" s="116"/>
      <c r="G291" s="116"/>
    </row>
    <row r="292" spans="1:7" ht="16.5">
      <c r="A292" s="227" t="s">
        <v>34</v>
      </c>
      <c r="B292" s="227" t="s">
        <v>822</v>
      </c>
      <c r="C292" s="228">
        <v>7131291.3699999992</v>
      </c>
      <c r="D292" s="116"/>
      <c r="E292" s="228">
        <v>708112.78</v>
      </c>
      <c r="F292" s="116"/>
      <c r="G292" s="116"/>
    </row>
    <row r="293" spans="1:7" ht="16.5">
      <c r="A293" s="227" t="s">
        <v>36</v>
      </c>
      <c r="B293" s="227" t="s">
        <v>823</v>
      </c>
      <c r="C293" s="228">
        <v>95403.75</v>
      </c>
      <c r="D293" s="116"/>
      <c r="E293" s="228">
        <v>29546.86</v>
      </c>
      <c r="F293" s="116"/>
      <c r="G293" s="116"/>
    </row>
    <row r="294" spans="1:7" ht="16.5">
      <c r="A294" s="227" t="s">
        <v>520</v>
      </c>
      <c r="B294" s="227" t="s">
        <v>928</v>
      </c>
      <c r="C294" s="228">
        <v>414342.2</v>
      </c>
      <c r="D294" s="116"/>
      <c r="E294" s="116"/>
      <c r="F294" s="116"/>
      <c r="G294" s="116"/>
    </row>
    <row r="295" spans="1:7" ht="16.5">
      <c r="A295" s="227" t="s">
        <v>522</v>
      </c>
      <c r="B295" s="227" t="s">
        <v>824</v>
      </c>
      <c r="C295" s="228">
        <v>635026.64</v>
      </c>
      <c r="D295" s="116"/>
      <c r="E295" s="228">
        <v>92038.59</v>
      </c>
      <c r="F295" s="116"/>
      <c r="G295" s="228">
        <v>86229.039999999979</v>
      </c>
    </row>
    <row r="296" spans="1:7" ht="16.5">
      <c r="A296" s="227" t="s">
        <v>485</v>
      </c>
      <c r="B296" s="227" t="s">
        <v>825</v>
      </c>
      <c r="C296" s="228">
        <v>12180101.470000001</v>
      </c>
      <c r="D296" s="228">
        <v>309671.38</v>
      </c>
      <c r="E296" s="228">
        <v>1475552</v>
      </c>
      <c r="F296" s="116"/>
      <c r="G296" s="116"/>
    </row>
    <row r="297" spans="1:7" ht="16.5">
      <c r="A297" s="227" t="s">
        <v>298</v>
      </c>
      <c r="B297" s="227" t="s">
        <v>865</v>
      </c>
      <c r="C297" s="228">
        <v>5138274.38</v>
      </c>
      <c r="D297" s="116"/>
      <c r="E297" s="228">
        <v>729647.12000000011</v>
      </c>
      <c r="F297" s="116"/>
      <c r="G297" s="116"/>
    </row>
    <row r="298" spans="1:7" ht="16.5">
      <c r="A298" s="227" t="s">
        <v>299</v>
      </c>
      <c r="B298" s="227" t="s">
        <v>866</v>
      </c>
      <c r="C298" s="228">
        <v>7691266.79</v>
      </c>
      <c r="D298" s="228">
        <v>243038.62000000002</v>
      </c>
      <c r="E298" s="228">
        <v>980439.89</v>
      </c>
      <c r="F298" s="116"/>
      <c r="G298" s="116"/>
    </row>
    <row r="299" spans="1:7" ht="16.5">
      <c r="A299" s="227" t="s">
        <v>1311</v>
      </c>
      <c r="B299" s="227" t="s">
        <v>1803</v>
      </c>
      <c r="C299" s="228">
        <v>96810.489999999991</v>
      </c>
      <c r="D299" s="228">
        <v>3034.58</v>
      </c>
      <c r="E299" s="228">
        <v>18207.46</v>
      </c>
      <c r="F299" s="116"/>
      <c r="G299" s="116"/>
    </row>
    <row r="300" spans="1:7" ht="16.5">
      <c r="A300" s="227" t="s">
        <v>300</v>
      </c>
      <c r="B300" s="227" t="s">
        <v>826</v>
      </c>
      <c r="C300" s="228">
        <v>654706.07999999996</v>
      </c>
      <c r="D300" s="116"/>
      <c r="E300" s="228">
        <v>152150.89000000001</v>
      </c>
      <c r="F300" s="116"/>
      <c r="G300" s="116"/>
    </row>
    <row r="301" spans="1:7" ht="16.5">
      <c r="A301" s="227" t="s">
        <v>302</v>
      </c>
      <c r="B301" s="227" t="s">
        <v>827</v>
      </c>
      <c r="C301" s="228">
        <v>7794021.9799999995</v>
      </c>
      <c r="D301" s="228">
        <v>167375.24999999997</v>
      </c>
      <c r="E301" s="228">
        <v>770682.34000000008</v>
      </c>
      <c r="F301" s="228">
        <v>165656.13</v>
      </c>
      <c r="G301" s="116"/>
    </row>
    <row r="302" spans="1:7" ht="16.5">
      <c r="A302" s="227" t="s">
        <v>304</v>
      </c>
      <c r="B302" s="227" t="s">
        <v>929</v>
      </c>
      <c r="C302" s="228">
        <v>1409115.08</v>
      </c>
      <c r="D302" s="116"/>
      <c r="E302" s="116"/>
      <c r="F302" s="116"/>
      <c r="G302" s="116"/>
    </row>
    <row r="303" spans="1:7" ht="16.5">
      <c r="A303" s="227" t="s">
        <v>1161</v>
      </c>
      <c r="B303" s="227" t="s">
        <v>1786</v>
      </c>
      <c r="C303" s="228">
        <v>167203.29</v>
      </c>
      <c r="D303" s="228">
        <v>4414.09</v>
      </c>
      <c r="E303" s="228">
        <v>18917.510000000002</v>
      </c>
      <c r="F303" s="116"/>
      <c r="G303" s="116"/>
    </row>
    <row r="304" spans="1:7" ht="16.5">
      <c r="A304" s="227" t="s">
        <v>306</v>
      </c>
      <c r="B304" s="227" t="s">
        <v>828</v>
      </c>
      <c r="C304" s="228">
        <v>410697.38</v>
      </c>
      <c r="D304" s="228">
        <v>1374.34</v>
      </c>
      <c r="E304" s="228">
        <v>48292</v>
      </c>
      <c r="F304" s="116"/>
      <c r="G304" s="116"/>
    </row>
    <row r="305" spans="1:7" ht="16.5">
      <c r="A305" s="227" t="s">
        <v>308</v>
      </c>
      <c r="B305" s="227" t="s">
        <v>829</v>
      </c>
      <c r="C305" s="228">
        <v>636192.87</v>
      </c>
      <c r="D305" s="116"/>
      <c r="E305" s="228">
        <v>108300.07</v>
      </c>
      <c r="F305" s="116"/>
      <c r="G305" s="116"/>
    </row>
    <row r="306" spans="1:7" ht="16.5">
      <c r="A306" s="227" t="s">
        <v>310</v>
      </c>
      <c r="B306" s="227" t="s">
        <v>830</v>
      </c>
      <c r="C306" s="228">
        <v>194929.33000000002</v>
      </c>
      <c r="D306" s="116"/>
      <c r="E306" s="228">
        <v>35365.46</v>
      </c>
      <c r="F306" s="116"/>
      <c r="G306" s="116"/>
    </row>
    <row r="307" spans="1:7" ht="16.5">
      <c r="A307" s="227" t="s">
        <v>312</v>
      </c>
      <c r="B307" s="227" t="s">
        <v>831</v>
      </c>
      <c r="C307" s="228">
        <v>1575457.8</v>
      </c>
      <c r="D307" s="228">
        <v>16623.66</v>
      </c>
      <c r="E307" s="228">
        <v>199710.29</v>
      </c>
      <c r="F307" s="116"/>
      <c r="G307" s="116"/>
    </row>
    <row r="308" spans="1:7" ht="16.5">
      <c r="A308" s="227" t="s">
        <v>173</v>
      </c>
      <c r="B308" s="227" t="s">
        <v>832</v>
      </c>
      <c r="C308" s="228">
        <v>230823.85000000003</v>
      </c>
      <c r="D308" s="228">
        <v>7418.46</v>
      </c>
      <c r="E308" s="228">
        <v>34439.040000000001</v>
      </c>
      <c r="F308" s="116"/>
      <c r="G308" s="116"/>
    </row>
    <row r="309" spans="1:7" ht="16.5">
      <c r="A309" s="227" t="s">
        <v>175</v>
      </c>
      <c r="B309" s="227" t="s">
        <v>930</v>
      </c>
      <c r="C309" s="228">
        <v>53332.76</v>
      </c>
      <c r="D309" s="116"/>
      <c r="E309" s="116"/>
      <c r="F309" s="116"/>
      <c r="G309" s="116"/>
    </row>
    <row r="310" spans="1:7" ht="16.5">
      <c r="A310" s="227" t="s">
        <v>177</v>
      </c>
      <c r="B310" s="227" t="s">
        <v>833</v>
      </c>
      <c r="C310" s="228">
        <v>4516579.79</v>
      </c>
      <c r="D310" s="228">
        <v>113253.94</v>
      </c>
      <c r="E310" s="228">
        <v>522361.92</v>
      </c>
      <c r="F310" s="116"/>
      <c r="G310" s="116"/>
    </row>
    <row r="311" spans="1:7" ht="16.5">
      <c r="A311" s="227" t="s">
        <v>179</v>
      </c>
      <c r="B311" s="227" t="s">
        <v>834</v>
      </c>
      <c r="C311" s="228">
        <v>32292389.940000001</v>
      </c>
      <c r="D311" s="228">
        <v>669712.18000000005</v>
      </c>
      <c r="E311" s="228">
        <v>3421750.5900000003</v>
      </c>
      <c r="F311" s="116"/>
      <c r="G311" s="116"/>
    </row>
    <row r="312" spans="1:7" ht="16.5">
      <c r="A312" s="227" t="s">
        <v>181</v>
      </c>
      <c r="B312" s="227" t="s">
        <v>835</v>
      </c>
      <c r="C312" s="228">
        <v>11984790.700000001</v>
      </c>
      <c r="D312" s="228">
        <v>197143.54</v>
      </c>
      <c r="E312" s="228">
        <v>848249.99999999988</v>
      </c>
      <c r="F312" s="116"/>
      <c r="G312" s="116"/>
    </row>
    <row r="313" spans="1:7" ht="16.5">
      <c r="A313" s="227" t="s">
        <v>407</v>
      </c>
      <c r="B313" s="227" t="s">
        <v>836</v>
      </c>
      <c r="C313" s="228">
        <v>1335765.4899999998</v>
      </c>
      <c r="D313" s="228">
        <v>32161.97</v>
      </c>
      <c r="E313" s="228">
        <v>240477.89</v>
      </c>
      <c r="F313" s="116"/>
      <c r="G313" s="116"/>
    </row>
  </sheetData>
  <sortState xmlns:xlrd2="http://schemas.microsoft.com/office/spreadsheetml/2017/richdata2" ref="A2:G313">
    <sortCondition ref="B2:B313"/>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70EF0-65EB-46DD-A6C9-B64CB825B149}">
  <sheetPr>
    <tabColor rgb="FF92D050"/>
  </sheetPr>
  <dimension ref="A1:S315"/>
  <sheetViews>
    <sheetView zoomScale="90" zoomScaleNormal="90" workbookViewId="0">
      <selection activeCell="D326" sqref="D326"/>
    </sheetView>
  </sheetViews>
  <sheetFormatPr defaultRowHeight="12.75"/>
  <cols>
    <col min="1" max="1" width="9.140625" style="23"/>
    <col min="2" max="2" width="31.28515625" bestFit="1" customWidth="1"/>
    <col min="3" max="3" width="11" style="23" bestFit="1" customWidth="1"/>
    <col min="4" max="4" width="12.140625" bestFit="1" customWidth="1"/>
    <col min="5" max="5" width="9.85546875" bestFit="1" customWidth="1"/>
    <col min="6" max="6" width="9.28515625" bestFit="1" customWidth="1"/>
    <col min="7" max="7" width="9.140625" style="229"/>
    <col min="8" max="8" width="9.85546875" bestFit="1" customWidth="1"/>
    <col min="9" max="9" width="9.28515625" bestFit="1" customWidth="1"/>
    <col min="10" max="10" width="9.85546875" style="23" bestFit="1" customWidth="1"/>
    <col min="11" max="11" width="11" style="229" bestFit="1" customWidth="1"/>
    <col min="12" max="12" width="11.7109375" style="229" customWidth="1"/>
    <col min="13" max="14" width="9.140625" style="229"/>
    <col min="15" max="15" width="9.85546875" bestFit="1" customWidth="1"/>
    <col min="19" max="19" width="31.28515625" bestFit="1" customWidth="1"/>
  </cols>
  <sheetData>
    <row r="1" spans="1:19" s="23" customFormat="1">
      <c r="A1" s="23">
        <v>1</v>
      </c>
      <c r="B1" s="23">
        <v>2</v>
      </c>
      <c r="C1" s="23">
        <v>3</v>
      </c>
      <c r="D1" s="23">
        <v>4</v>
      </c>
      <c r="E1" s="23">
        <v>5</v>
      </c>
      <c r="F1" s="23">
        <v>6</v>
      </c>
      <c r="G1" s="229">
        <v>7</v>
      </c>
      <c r="H1" s="23">
        <v>8</v>
      </c>
      <c r="I1" s="23">
        <v>9</v>
      </c>
      <c r="J1" s="23">
        <v>10</v>
      </c>
      <c r="K1" s="229">
        <v>11</v>
      </c>
      <c r="L1" s="229">
        <v>12</v>
      </c>
      <c r="M1" s="229">
        <v>13</v>
      </c>
      <c r="N1" s="229">
        <v>14</v>
      </c>
      <c r="O1" s="23">
        <v>15</v>
      </c>
      <c r="S1" s="23">
        <v>2</v>
      </c>
    </row>
    <row r="2" spans="1:19" ht="16.5">
      <c r="A2" s="160" t="s">
        <v>867</v>
      </c>
      <c r="B2" s="160" t="s">
        <v>171</v>
      </c>
      <c r="C2" s="160" t="s">
        <v>1545</v>
      </c>
      <c r="D2" s="160" t="s">
        <v>1546</v>
      </c>
      <c r="E2" s="160" t="s">
        <v>1547</v>
      </c>
      <c r="F2" s="160" t="s">
        <v>1548</v>
      </c>
      <c r="G2" s="160" t="s">
        <v>1549</v>
      </c>
      <c r="H2" s="160" t="s">
        <v>1550</v>
      </c>
      <c r="I2" s="160" t="s">
        <v>1551</v>
      </c>
      <c r="J2" s="222" t="s">
        <v>1779</v>
      </c>
      <c r="K2" s="222" t="s">
        <v>1552</v>
      </c>
      <c r="L2" s="222">
        <v>6257</v>
      </c>
      <c r="M2" s="222" t="s">
        <v>1553</v>
      </c>
      <c r="N2" s="222" t="s">
        <v>1554</v>
      </c>
      <c r="O2" s="160" t="s">
        <v>1555</v>
      </c>
      <c r="S2" s="23"/>
    </row>
    <row r="3" spans="1:19" ht="16.5">
      <c r="A3" s="118" t="s">
        <v>51</v>
      </c>
      <c r="B3" s="227" t="s">
        <v>588</v>
      </c>
      <c r="C3" s="23">
        <v>960566.84</v>
      </c>
      <c r="D3" s="23">
        <v>4139570.55</v>
      </c>
      <c r="E3" s="23"/>
      <c r="F3" s="23">
        <v>10611.28</v>
      </c>
      <c r="G3" s="23"/>
      <c r="H3" s="229"/>
      <c r="I3" s="23"/>
      <c r="J3" s="23">
        <v>187996</v>
      </c>
      <c r="K3" s="23">
        <v>831447.69</v>
      </c>
      <c r="L3" s="23"/>
      <c r="M3" s="229">
        <v>47332.51</v>
      </c>
      <c r="O3" s="229"/>
      <c r="P3" s="229"/>
    </row>
    <row r="4" spans="1:19" ht="16.5">
      <c r="A4" s="118" t="s">
        <v>53</v>
      </c>
      <c r="B4" s="227" t="s">
        <v>589</v>
      </c>
      <c r="C4" s="23">
        <v>116864.32000000001</v>
      </c>
      <c r="D4" s="23">
        <v>798754.71</v>
      </c>
      <c r="E4" s="23"/>
      <c r="F4" s="23"/>
      <c r="G4" s="23"/>
      <c r="H4" s="229"/>
      <c r="I4" s="23"/>
      <c r="J4" s="23">
        <v>27796</v>
      </c>
      <c r="K4" s="23">
        <v>133679</v>
      </c>
      <c r="L4" s="23"/>
      <c r="M4" s="229">
        <v>4318.84</v>
      </c>
      <c r="O4" s="229"/>
      <c r="P4" s="229"/>
    </row>
    <row r="5" spans="1:19" ht="16.5">
      <c r="A5" s="118" t="s">
        <v>55</v>
      </c>
      <c r="B5" s="227" t="s">
        <v>590</v>
      </c>
      <c r="C5" s="23">
        <v>8922.76</v>
      </c>
      <c r="D5" s="23">
        <v>99977.43</v>
      </c>
      <c r="E5" s="23"/>
      <c r="F5" s="23"/>
      <c r="G5" s="23"/>
      <c r="H5" s="229"/>
      <c r="I5" s="23"/>
      <c r="J5" s="23">
        <v>5826</v>
      </c>
      <c r="K5" s="23">
        <v>20367</v>
      </c>
      <c r="L5" s="23"/>
      <c r="O5" s="229">
        <v>22416.37</v>
      </c>
      <c r="P5" s="229"/>
    </row>
    <row r="6" spans="1:19" ht="16.5">
      <c r="A6" s="118" t="s">
        <v>182</v>
      </c>
      <c r="B6" s="227" t="s">
        <v>591</v>
      </c>
      <c r="C6" s="23">
        <v>600690.5</v>
      </c>
      <c r="D6" s="23">
        <v>3292062.05</v>
      </c>
      <c r="E6" s="23"/>
      <c r="F6" s="23"/>
      <c r="G6" s="23"/>
      <c r="H6" s="229"/>
      <c r="I6" s="23"/>
      <c r="J6" s="23">
        <v>121806</v>
      </c>
      <c r="K6" s="23">
        <v>559980</v>
      </c>
      <c r="L6" s="23"/>
      <c r="M6" s="229">
        <v>71165.41</v>
      </c>
      <c r="O6" s="229"/>
      <c r="P6" s="229"/>
    </row>
    <row r="7" spans="1:19" ht="16.5">
      <c r="A7" s="118" t="s">
        <v>471</v>
      </c>
      <c r="B7" s="227" t="s">
        <v>592</v>
      </c>
      <c r="C7" s="23">
        <v>1907490.2</v>
      </c>
      <c r="D7" s="23">
        <v>8027815.1500000004</v>
      </c>
      <c r="E7" s="23"/>
      <c r="F7" s="23">
        <v>48223.27</v>
      </c>
      <c r="G7" s="23"/>
      <c r="H7" s="229"/>
      <c r="I7" s="23"/>
      <c r="J7" s="23">
        <v>56314.84</v>
      </c>
      <c r="K7" s="23">
        <v>1070767.32</v>
      </c>
      <c r="L7" s="23"/>
      <c r="M7" s="229">
        <v>141857.76999999999</v>
      </c>
      <c r="O7" s="229">
        <v>7476.48</v>
      </c>
      <c r="P7" s="229"/>
    </row>
    <row r="8" spans="1:19" ht="16.5">
      <c r="A8" s="118" t="s">
        <v>473</v>
      </c>
      <c r="B8" s="227" t="s">
        <v>593</v>
      </c>
      <c r="C8" s="23">
        <v>139737.25</v>
      </c>
      <c r="D8" s="23">
        <v>752105.28</v>
      </c>
      <c r="E8" s="23"/>
      <c r="F8" s="23"/>
      <c r="G8" s="23"/>
      <c r="H8" s="229"/>
      <c r="I8" s="23"/>
      <c r="K8" s="23">
        <v>136343.70000000001</v>
      </c>
      <c r="L8" s="23"/>
      <c r="M8" s="229">
        <v>24287.33</v>
      </c>
      <c r="O8" s="229"/>
      <c r="P8" s="229"/>
    </row>
    <row r="9" spans="1:19" ht="16.5">
      <c r="A9" s="118" t="s">
        <v>474</v>
      </c>
      <c r="B9" s="227" t="s">
        <v>594</v>
      </c>
      <c r="C9" s="23">
        <v>4261397.18</v>
      </c>
      <c r="D9" s="23">
        <v>20766903.690000001</v>
      </c>
      <c r="E9" s="23"/>
      <c r="F9" s="23"/>
      <c r="G9" s="23"/>
      <c r="H9" s="229"/>
      <c r="I9" s="23"/>
      <c r="K9" s="23">
        <v>3242695.36</v>
      </c>
      <c r="L9" s="23"/>
      <c r="M9" s="229">
        <v>233890.49</v>
      </c>
      <c r="O9" s="229">
        <v>39840</v>
      </c>
      <c r="P9" s="229"/>
    </row>
    <row r="10" spans="1:19" ht="16.5">
      <c r="A10" s="118" t="s">
        <v>476</v>
      </c>
      <c r="B10" s="227" t="s">
        <v>1787</v>
      </c>
      <c r="C10" s="23">
        <v>776833.51</v>
      </c>
      <c r="D10" s="23">
        <v>5555672.5199999996</v>
      </c>
      <c r="E10" s="23"/>
      <c r="F10" s="23">
        <v>514</v>
      </c>
      <c r="G10" s="23"/>
      <c r="H10" s="229"/>
      <c r="I10" s="23"/>
      <c r="K10" s="23">
        <v>1035119.74</v>
      </c>
      <c r="L10" s="23"/>
      <c r="O10" s="229"/>
      <c r="P10" s="229"/>
    </row>
    <row r="11" spans="1:19" ht="16.5">
      <c r="A11" s="118" t="s">
        <v>477</v>
      </c>
      <c r="B11" s="227" t="s">
        <v>596</v>
      </c>
      <c r="C11" s="23">
        <v>2738677.17</v>
      </c>
      <c r="D11" s="23">
        <v>15814917.390000001</v>
      </c>
      <c r="E11" s="23"/>
      <c r="F11" s="23">
        <v>42215.61</v>
      </c>
      <c r="G11" s="23"/>
      <c r="H11" s="229"/>
      <c r="I11" s="23"/>
      <c r="J11" s="23">
        <v>196955.75</v>
      </c>
      <c r="K11" s="23">
        <v>2590448.25</v>
      </c>
      <c r="L11" s="23"/>
      <c r="M11" s="229">
        <v>152852.98000000001</v>
      </c>
      <c r="O11" s="229"/>
      <c r="P11" s="229"/>
    </row>
    <row r="12" spans="1:19" ht="16.5">
      <c r="A12" s="118" t="s">
        <v>195</v>
      </c>
      <c r="B12" s="227" t="s">
        <v>597</v>
      </c>
      <c r="C12" s="23">
        <v>3345118.11</v>
      </c>
      <c r="D12" s="23">
        <v>22068468.300000001</v>
      </c>
      <c r="E12" s="23"/>
      <c r="F12" s="23">
        <v>794.09</v>
      </c>
      <c r="G12" s="23"/>
      <c r="H12" s="229"/>
      <c r="I12" s="23"/>
      <c r="J12" s="23">
        <v>427300.39</v>
      </c>
      <c r="K12" s="23">
        <v>4677774.7699999996</v>
      </c>
      <c r="L12" s="23"/>
      <c r="M12" s="229">
        <v>1181.2</v>
      </c>
      <c r="O12" s="229">
        <v>17151.2</v>
      </c>
      <c r="P12" s="229"/>
    </row>
    <row r="13" spans="1:19" ht="16.5">
      <c r="A13" s="118" t="s">
        <v>197</v>
      </c>
      <c r="B13" s="227" t="s">
        <v>598</v>
      </c>
      <c r="C13" s="23">
        <v>3551156.1</v>
      </c>
      <c r="D13" s="23">
        <v>17086024.710000001</v>
      </c>
      <c r="E13" s="23"/>
      <c r="F13" s="23">
        <v>37020.86</v>
      </c>
      <c r="G13" s="23"/>
      <c r="H13" s="229"/>
      <c r="I13" s="23"/>
      <c r="K13" s="23">
        <v>2560945</v>
      </c>
      <c r="L13" s="23"/>
      <c r="M13" s="229">
        <v>128977.13</v>
      </c>
      <c r="O13" s="229">
        <v>34564.959999999999</v>
      </c>
      <c r="P13" s="229"/>
    </row>
    <row r="14" spans="1:19" ht="16.5">
      <c r="A14" s="118" t="s">
        <v>199</v>
      </c>
      <c r="B14" s="227" t="s">
        <v>599</v>
      </c>
      <c r="C14" s="23">
        <v>157.38</v>
      </c>
      <c r="D14" s="23">
        <v>2955.78</v>
      </c>
      <c r="E14" s="23"/>
      <c r="F14" s="23"/>
      <c r="G14" s="23"/>
      <c r="H14" s="229"/>
      <c r="I14" s="23"/>
      <c r="K14" s="23"/>
      <c r="L14" s="23"/>
      <c r="O14" s="229"/>
      <c r="P14" s="229"/>
    </row>
    <row r="15" spans="1:19" ht="16.5">
      <c r="A15" s="118" t="s">
        <v>201</v>
      </c>
      <c r="B15" s="227" t="s">
        <v>600</v>
      </c>
      <c r="C15" s="23">
        <v>6352670.6200000001</v>
      </c>
      <c r="D15" s="23">
        <v>25733377.73</v>
      </c>
      <c r="E15" s="23"/>
      <c r="F15" s="23">
        <v>43642.58</v>
      </c>
      <c r="G15" s="23"/>
      <c r="H15" s="229">
        <v>65413</v>
      </c>
      <c r="I15" s="23"/>
      <c r="J15" s="23">
        <v>1032258</v>
      </c>
      <c r="K15" s="23">
        <v>4025081.23</v>
      </c>
      <c r="L15" s="23"/>
      <c r="M15" s="229">
        <v>139995.04999999999</v>
      </c>
      <c r="O15" s="229">
        <v>20250</v>
      </c>
      <c r="P15" s="229"/>
    </row>
    <row r="16" spans="1:19" ht="16.5">
      <c r="A16" s="118" t="s">
        <v>203</v>
      </c>
      <c r="B16" s="227" t="s">
        <v>601</v>
      </c>
      <c r="D16" s="23">
        <v>153273.91</v>
      </c>
      <c r="E16" s="23"/>
      <c r="F16" s="23"/>
      <c r="G16" s="23"/>
      <c r="H16" s="229"/>
      <c r="I16" s="23"/>
      <c r="K16" s="23"/>
      <c r="L16" s="23"/>
      <c r="O16" s="229"/>
      <c r="P16" s="229"/>
    </row>
    <row r="17" spans="1:16" ht="16.5">
      <c r="A17" s="118" t="s">
        <v>14</v>
      </c>
      <c r="B17" s="227" t="s">
        <v>602</v>
      </c>
      <c r="C17" s="23">
        <v>506616.2</v>
      </c>
      <c r="D17" s="23">
        <v>3639952.56</v>
      </c>
      <c r="E17" s="23"/>
      <c r="F17" s="23"/>
      <c r="G17" s="23"/>
      <c r="H17" s="229"/>
      <c r="I17" s="23"/>
      <c r="J17" s="23">
        <v>110502</v>
      </c>
      <c r="K17" s="23">
        <v>495330</v>
      </c>
      <c r="L17" s="23"/>
      <c r="M17" s="229">
        <v>23928.97</v>
      </c>
      <c r="O17" s="229"/>
      <c r="P17" s="229"/>
    </row>
    <row r="18" spans="1:16" ht="16.5">
      <c r="A18" s="118" t="s">
        <v>16</v>
      </c>
      <c r="B18" s="227" t="s">
        <v>603</v>
      </c>
      <c r="C18" s="23">
        <v>34402.959999999999</v>
      </c>
      <c r="D18" s="23">
        <v>171998.57</v>
      </c>
      <c r="E18" s="23"/>
      <c r="F18" s="23"/>
      <c r="G18" s="23"/>
      <c r="H18" s="229"/>
      <c r="I18" s="23"/>
      <c r="K18" s="23">
        <v>38593</v>
      </c>
      <c r="L18" s="23"/>
      <c r="M18" s="229">
        <v>6915.12</v>
      </c>
      <c r="O18" s="229"/>
      <c r="P18" s="229"/>
    </row>
    <row r="19" spans="1:16" ht="16.5">
      <c r="A19" s="118" t="s">
        <v>524</v>
      </c>
      <c r="B19" s="227" t="s">
        <v>604</v>
      </c>
      <c r="C19" s="23">
        <v>1424569.24</v>
      </c>
      <c r="D19" s="23">
        <v>7079037.9699999997</v>
      </c>
      <c r="E19" s="23"/>
      <c r="F19" s="23"/>
      <c r="G19" s="23"/>
      <c r="H19" s="229">
        <v>16725</v>
      </c>
      <c r="I19" s="23"/>
      <c r="J19" s="23">
        <v>59237.24</v>
      </c>
      <c r="K19" s="23">
        <v>953851.86</v>
      </c>
      <c r="L19" s="23"/>
      <c r="O19" s="229"/>
      <c r="P19" s="229"/>
    </row>
    <row r="20" spans="1:16" ht="16.5">
      <c r="A20" s="118" t="s">
        <v>526</v>
      </c>
      <c r="B20" s="227" t="s">
        <v>605</v>
      </c>
      <c r="C20" s="23">
        <v>145560.68</v>
      </c>
      <c r="D20" s="23">
        <v>959311.4</v>
      </c>
      <c r="E20" s="23"/>
      <c r="F20" s="23"/>
      <c r="G20" s="23"/>
      <c r="H20" s="229"/>
      <c r="I20" s="23"/>
      <c r="J20" s="23">
        <v>53117.84</v>
      </c>
      <c r="K20" s="23">
        <v>236543.12</v>
      </c>
      <c r="L20" s="23"/>
      <c r="O20" s="229"/>
      <c r="P20" s="229"/>
    </row>
    <row r="21" spans="1:16" ht="16.5">
      <c r="A21" s="118" t="s">
        <v>528</v>
      </c>
      <c r="B21" s="227" t="s">
        <v>606</v>
      </c>
      <c r="C21" s="23">
        <v>84357.17</v>
      </c>
      <c r="D21" s="23">
        <v>673402.43</v>
      </c>
      <c r="E21" s="23"/>
      <c r="F21" s="23"/>
      <c r="G21" s="23"/>
      <c r="H21" s="229"/>
      <c r="I21" s="23"/>
      <c r="J21" s="23">
        <v>46607</v>
      </c>
      <c r="K21" s="23">
        <v>178949</v>
      </c>
      <c r="L21" s="23"/>
      <c r="M21" s="229">
        <v>29404.83</v>
      </c>
      <c r="O21" s="229"/>
      <c r="P21" s="229"/>
    </row>
    <row r="22" spans="1:16" ht="16.5">
      <c r="A22" s="118" t="s">
        <v>530</v>
      </c>
      <c r="B22" s="227" t="s">
        <v>607</v>
      </c>
      <c r="C22" s="23">
        <v>4109.3500000000004</v>
      </c>
      <c r="D22" s="23">
        <v>74945.33</v>
      </c>
      <c r="E22" s="23"/>
      <c r="F22" s="23"/>
      <c r="G22" s="23"/>
      <c r="H22" s="229"/>
      <c r="I22" s="23"/>
      <c r="J22" s="23">
        <v>4166</v>
      </c>
      <c r="K22" s="23">
        <v>24342</v>
      </c>
      <c r="L22" s="23"/>
      <c r="O22" s="229"/>
      <c r="P22" s="229"/>
    </row>
    <row r="23" spans="1:16" ht="16.5">
      <c r="A23" s="118" t="s">
        <v>532</v>
      </c>
      <c r="B23" s="227" t="s">
        <v>1794</v>
      </c>
      <c r="C23" s="23">
        <v>968912.95</v>
      </c>
      <c r="D23" s="23">
        <v>4710631.97</v>
      </c>
      <c r="E23" s="23"/>
      <c r="F23" s="23"/>
      <c r="G23" s="23"/>
      <c r="H23" s="229"/>
      <c r="I23" s="23"/>
      <c r="J23" s="23">
        <v>178687.69</v>
      </c>
      <c r="K23" s="23">
        <v>778625.09</v>
      </c>
      <c r="L23" s="23"/>
      <c r="M23" s="229">
        <v>271482.58</v>
      </c>
      <c r="O23" s="229"/>
      <c r="P23" s="229"/>
    </row>
    <row r="24" spans="1:16" ht="16.5">
      <c r="A24" s="118" t="s">
        <v>534</v>
      </c>
      <c r="B24" s="227" t="s">
        <v>609</v>
      </c>
      <c r="C24" s="23">
        <v>1346711.5</v>
      </c>
      <c r="D24" s="23">
        <v>8551602.6500000004</v>
      </c>
      <c r="E24" s="23"/>
      <c r="F24" s="23"/>
      <c r="G24" s="23"/>
      <c r="H24" s="229"/>
      <c r="I24" s="23"/>
      <c r="J24" s="23">
        <v>136884.42000000001</v>
      </c>
      <c r="K24" s="23">
        <v>1041638.34</v>
      </c>
      <c r="L24" s="23"/>
      <c r="O24" s="229"/>
      <c r="P24" s="229"/>
    </row>
    <row r="25" spans="1:16" ht="16.5">
      <c r="A25" s="118" t="s">
        <v>536</v>
      </c>
      <c r="B25" s="227" t="s">
        <v>610</v>
      </c>
      <c r="C25" s="23">
        <v>104286.26</v>
      </c>
      <c r="D25" s="23">
        <v>597975.36</v>
      </c>
      <c r="E25" s="23"/>
      <c r="F25" s="23"/>
      <c r="G25" s="23"/>
      <c r="H25" s="229"/>
      <c r="I25" s="23"/>
      <c r="J25" s="23">
        <v>28111</v>
      </c>
      <c r="K25" s="23">
        <v>122344</v>
      </c>
      <c r="L25" s="23"/>
      <c r="O25" s="229"/>
      <c r="P25" s="229"/>
    </row>
    <row r="26" spans="1:16" ht="16.5">
      <c r="A26" s="118" t="s">
        <v>538</v>
      </c>
      <c r="B26" s="227" t="s">
        <v>847</v>
      </c>
      <c r="C26" s="23">
        <v>27563.96</v>
      </c>
      <c r="D26" s="23">
        <v>259605.93</v>
      </c>
      <c r="E26" s="23"/>
      <c r="F26" s="23"/>
      <c r="G26" s="23"/>
      <c r="H26" s="229"/>
      <c r="I26" s="23"/>
      <c r="J26" s="23">
        <v>7054.51</v>
      </c>
      <c r="K26" s="23">
        <v>41608</v>
      </c>
      <c r="L26" s="23"/>
      <c r="O26" s="229"/>
      <c r="P26" s="229"/>
    </row>
    <row r="27" spans="1:16" ht="16.5">
      <c r="A27" s="118" t="s">
        <v>151</v>
      </c>
      <c r="B27" s="227" t="s">
        <v>611</v>
      </c>
      <c r="C27" s="23">
        <v>212894.63</v>
      </c>
      <c r="D27" s="23">
        <v>994903.63</v>
      </c>
      <c r="E27" s="23"/>
      <c r="F27" s="23"/>
      <c r="G27" s="23"/>
      <c r="H27" s="229"/>
      <c r="I27" s="23"/>
      <c r="J27" s="23">
        <v>62850.98</v>
      </c>
      <c r="K27" s="23">
        <v>304840.25</v>
      </c>
      <c r="L27" s="23"/>
      <c r="O27" s="229"/>
      <c r="P27" s="229"/>
    </row>
    <row r="28" spans="1:16" ht="16.5">
      <c r="A28" s="118" t="s">
        <v>153</v>
      </c>
      <c r="B28" s="227" t="s">
        <v>612</v>
      </c>
      <c r="C28" s="23">
        <v>230707.69</v>
      </c>
      <c r="D28" s="23">
        <v>1852480.17</v>
      </c>
      <c r="E28" s="23"/>
      <c r="F28" s="23"/>
      <c r="G28" s="23"/>
      <c r="H28" s="229"/>
      <c r="I28" s="23"/>
      <c r="J28" s="23">
        <v>80713</v>
      </c>
      <c r="K28" s="23">
        <v>317216</v>
      </c>
      <c r="L28" s="23"/>
      <c r="M28" s="229">
        <v>69170.149999999994</v>
      </c>
      <c r="O28" s="229"/>
      <c r="P28" s="229"/>
    </row>
    <row r="29" spans="1:16" ht="16.5">
      <c r="A29" s="118" t="s">
        <v>155</v>
      </c>
      <c r="B29" s="227" t="s">
        <v>613</v>
      </c>
      <c r="C29" s="23">
        <v>389561.99</v>
      </c>
      <c r="D29" s="23">
        <v>1923373.37</v>
      </c>
      <c r="E29" s="23"/>
      <c r="F29" s="23">
        <v>13782.51</v>
      </c>
      <c r="G29" s="23"/>
      <c r="H29" s="229"/>
      <c r="I29" s="23"/>
      <c r="J29" s="23">
        <v>60291.24</v>
      </c>
      <c r="K29" s="23">
        <v>284299</v>
      </c>
      <c r="L29" s="23"/>
      <c r="M29" s="229">
        <v>34456.32</v>
      </c>
      <c r="O29" s="229"/>
      <c r="P29" s="229"/>
    </row>
    <row r="30" spans="1:16" ht="16.5">
      <c r="A30" s="118" t="s">
        <v>1050</v>
      </c>
      <c r="B30" s="227" t="s">
        <v>1507</v>
      </c>
      <c r="C30" s="23">
        <v>155517.79</v>
      </c>
      <c r="D30" s="23">
        <v>257223.11</v>
      </c>
      <c r="E30" s="23"/>
      <c r="F30" s="23"/>
      <c r="G30" s="23"/>
      <c r="H30" s="229"/>
      <c r="I30" s="23"/>
      <c r="J30" s="23">
        <v>6449</v>
      </c>
      <c r="K30" s="23">
        <v>77076</v>
      </c>
      <c r="L30" s="23"/>
      <c r="O30" s="229"/>
      <c r="P30" s="229"/>
    </row>
    <row r="31" spans="1:16" ht="16.5">
      <c r="A31" s="118" t="s">
        <v>157</v>
      </c>
      <c r="B31" s="227" t="s">
        <v>899</v>
      </c>
      <c r="C31" s="23">
        <v>11408.67</v>
      </c>
      <c r="D31" s="23">
        <v>60143.63</v>
      </c>
      <c r="E31" s="23"/>
      <c r="F31" s="23"/>
      <c r="G31" s="23"/>
      <c r="H31" s="229"/>
      <c r="I31" s="23"/>
      <c r="K31" s="23"/>
      <c r="L31" s="23"/>
      <c r="O31" s="229"/>
      <c r="P31" s="229"/>
    </row>
    <row r="32" spans="1:16" ht="16.5">
      <c r="A32" s="118" t="s">
        <v>281</v>
      </c>
      <c r="B32" s="227" t="s">
        <v>614</v>
      </c>
      <c r="C32" s="23">
        <v>4016276.51</v>
      </c>
      <c r="D32" s="23">
        <v>17868978.120000001</v>
      </c>
      <c r="E32" s="23"/>
      <c r="F32" s="23"/>
      <c r="G32" s="23"/>
      <c r="H32" s="229">
        <v>506420.72</v>
      </c>
      <c r="I32" s="23"/>
      <c r="K32" s="23">
        <v>2661618</v>
      </c>
      <c r="L32" s="23"/>
      <c r="O32" s="229"/>
      <c r="P32" s="229"/>
    </row>
    <row r="33" spans="1:16" ht="16.5">
      <c r="A33" s="118" t="s">
        <v>283</v>
      </c>
      <c r="B33" s="227" t="s">
        <v>615</v>
      </c>
      <c r="C33" s="23">
        <v>5299564.8899999997</v>
      </c>
      <c r="D33" s="23">
        <v>19660950.68</v>
      </c>
      <c r="E33" s="23"/>
      <c r="F33" s="23">
        <v>49322.74</v>
      </c>
      <c r="G33" s="23"/>
      <c r="H33" s="229"/>
      <c r="I33" s="23"/>
      <c r="J33" s="23">
        <v>693242</v>
      </c>
      <c r="K33" s="23">
        <v>2942784</v>
      </c>
      <c r="L33" s="23"/>
      <c r="M33" s="229">
        <v>176269.25</v>
      </c>
      <c r="O33" s="229"/>
      <c r="P33" s="229"/>
    </row>
    <row r="34" spans="1:16" ht="16.5">
      <c r="A34" s="118" t="s">
        <v>285</v>
      </c>
      <c r="B34" s="227" t="s">
        <v>616</v>
      </c>
      <c r="C34" s="23">
        <v>932527.82</v>
      </c>
      <c r="D34" s="23">
        <v>4520324.79</v>
      </c>
      <c r="E34" s="23"/>
      <c r="F34" s="23">
        <v>12874.32</v>
      </c>
      <c r="G34" s="23"/>
      <c r="H34" s="229"/>
      <c r="I34" s="23"/>
      <c r="K34" s="23">
        <v>856792.44</v>
      </c>
      <c r="L34" s="23"/>
      <c r="M34" s="229">
        <v>45172.75</v>
      </c>
      <c r="O34" s="229"/>
      <c r="P34" s="229"/>
    </row>
    <row r="35" spans="1:16" ht="16.5">
      <c r="A35" s="118" t="s">
        <v>287</v>
      </c>
      <c r="B35" s="227" t="s">
        <v>617</v>
      </c>
      <c r="C35" s="23">
        <v>943606.94</v>
      </c>
      <c r="D35" s="23">
        <v>3797093.18</v>
      </c>
      <c r="E35" s="23"/>
      <c r="F35" s="23">
        <v>10105.700000000001</v>
      </c>
      <c r="G35" s="23"/>
      <c r="H35" s="229"/>
      <c r="I35" s="23"/>
      <c r="J35" s="23">
        <v>151296.84</v>
      </c>
      <c r="K35" s="23">
        <v>627385</v>
      </c>
      <c r="L35" s="23"/>
      <c r="M35" s="229">
        <v>25264.23</v>
      </c>
      <c r="O35" s="229">
        <v>600999.13</v>
      </c>
      <c r="P35" s="229"/>
    </row>
    <row r="36" spans="1:16" ht="16.5">
      <c r="A36" s="118" t="s">
        <v>289</v>
      </c>
      <c r="B36" s="227" t="s">
        <v>618</v>
      </c>
      <c r="C36" s="23">
        <v>1446401.07</v>
      </c>
      <c r="D36" s="23">
        <v>6988102.9500000002</v>
      </c>
      <c r="E36" s="23"/>
      <c r="F36" s="23"/>
      <c r="G36" s="23"/>
      <c r="H36" s="229"/>
      <c r="I36" s="23"/>
      <c r="K36" s="23">
        <v>930586.99</v>
      </c>
      <c r="L36" s="23"/>
      <c r="M36" s="229">
        <v>56418.31</v>
      </c>
      <c r="O36" s="229"/>
      <c r="P36" s="229"/>
    </row>
    <row r="37" spans="1:16" ht="16.5">
      <c r="A37" s="118" t="s">
        <v>291</v>
      </c>
      <c r="B37" s="227" t="s">
        <v>619</v>
      </c>
      <c r="C37" s="23">
        <v>202659.8</v>
      </c>
      <c r="D37" s="23">
        <v>948263.26</v>
      </c>
      <c r="E37" s="23"/>
      <c r="F37" s="23"/>
      <c r="G37" s="23"/>
      <c r="H37" s="229"/>
      <c r="I37" s="23"/>
      <c r="J37" s="23">
        <v>26037</v>
      </c>
      <c r="K37" s="23">
        <v>178584</v>
      </c>
      <c r="L37" s="23"/>
      <c r="M37" s="229">
        <v>15222.36</v>
      </c>
      <c r="O37" s="229"/>
      <c r="P37" s="229"/>
    </row>
    <row r="38" spans="1:16" ht="16.5">
      <c r="A38" s="118" t="s">
        <v>1013</v>
      </c>
      <c r="B38" s="227" t="s">
        <v>1791</v>
      </c>
      <c r="C38" s="23">
        <v>104892</v>
      </c>
      <c r="D38" s="23">
        <v>661379.12</v>
      </c>
      <c r="E38" s="23"/>
      <c r="F38" s="23"/>
      <c r="G38" s="23"/>
      <c r="H38" s="229"/>
      <c r="I38" s="23"/>
      <c r="K38" s="23"/>
      <c r="L38" s="23"/>
      <c r="O38" s="229"/>
      <c r="P38" s="229"/>
    </row>
    <row r="39" spans="1:16" ht="16.5">
      <c r="A39" s="118" t="s">
        <v>19</v>
      </c>
      <c r="B39" s="227" t="s">
        <v>620</v>
      </c>
      <c r="C39" s="23">
        <v>180965.02</v>
      </c>
      <c r="D39" s="23">
        <v>1103425.19</v>
      </c>
      <c r="E39" s="23"/>
      <c r="F39" s="23"/>
      <c r="G39" s="23"/>
      <c r="H39" s="229"/>
      <c r="I39" s="23"/>
      <c r="J39" s="23">
        <v>3264</v>
      </c>
      <c r="K39" s="23">
        <v>270365.03000000003</v>
      </c>
      <c r="L39" s="23"/>
      <c r="M39" s="229">
        <v>55003.74</v>
      </c>
      <c r="O39" s="229"/>
      <c r="P39" s="229"/>
    </row>
    <row r="40" spans="1:16" ht="16.5">
      <c r="A40" s="118" t="s">
        <v>21</v>
      </c>
      <c r="B40" s="227" t="s">
        <v>621</v>
      </c>
      <c r="C40" s="23">
        <v>681239.32</v>
      </c>
      <c r="D40" s="23">
        <v>3090417.82</v>
      </c>
      <c r="E40" s="23"/>
      <c r="F40" s="23"/>
      <c r="G40" s="23"/>
      <c r="H40" s="229"/>
      <c r="I40" s="23"/>
      <c r="J40" s="23">
        <v>10057.85</v>
      </c>
      <c r="K40" s="23">
        <v>592212.64</v>
      </c>
      <c r="L40" s="23"/>
      <c r="M40" s="229">
        <v>80559.520000000004</v>
      </c>
      <c r="O40" s="229"/>
      <c r="P40" s="229"/>
    </row>
    <row r="41" spans="1:16" ht="16.5">
      <c r="A41" s="118" t="s">
        <v>23</v>
      </c>
      <c r="B41" s="227" t="s">
        <v>622</v>
      </c>
      <c r="C41" s="23">
        <v>120408.27</v>
      </c>
      <c r="D41" s="23">
        <v>1148238.6299999999</v>
      </c>
      <c r="E41" s="23"/>
      <c r="F41" s="23">
        <v>4068.17</v>
      </c>
      <c r="G41" s="23"/>
      <c r="H41" s="229"/>
      <c r="I41" s="23"/>
      <c r="J41" s="23">
        <v>3215</v>
      </c>
      <c r="K41" s="23">
        <v>181751.91</v>
      </c>
      <c r="L41" s="23"/>
      <c r="M41" s="229">
        <v>9853.1299999999992</v>
      </c>
      <c r="O41" s="229"/>
      <c r="P41" s="229"/>
    </row>
    <row r="42" spans="1:16" ht="16.5">
      <c r="A42" s="118" t="s">
        <v>25</v>
      </c>
      <c r="B42" s="227" t="s">
        <v>623</v>
      </c>
      <c r="C42" s="23">
        <v>4988737.5999999996</v>
      </c>
      <c r="D42" s="23">
        <v>19051495.760000002</v>
      </c>
      <c r="E42" s="23">
        <v>2033615.93</v>
      </c>
      <c r="F42" s="23">
        <v>20182.34</v>
      </c>
      <c r="G42" s="23"/>
      <c r="H42" s="229">
        <v>1193295.42</v>
      </c>
      <c r="I42" s="23"/>
      <c r="J42" s="23">
        <v>682769</v>
      </c>
      <c r="K42" s="23">
        <v>2940942.87</v>
      </c>
      <c r="L42" s="23"/>
      <c r="M42" s="229">
        <v>73140.5</v>
      </c>
      <c r="O42" s="229">
        <v>418781.93</v>
      </c>
      <c r="P42" s="229"/>
    </row>
    <row r="43" spans="1:16" ht="16.5">
      <c r="A43" s="118" t="s">
        <v>27</v>
      </c>
      <c r="B43" s="227" t="s">
        <v>624</v>
      </c>
      <c r="C43" s="23">
        <v>126268.32</v>
      </c>
      <c r="D43" s="23">
        <v>659840.92000000004</v>
      </c>
      <c r="E43" s="23"/>
      <c r="F43" s="23">
        <v>960.73</v>
      </c>
      <c r="G43" s="23"/>
      <c r="H43" s="229"/>
      <c r="I43" s="23"/>
      <c r="K43" s="23">
        <v>73355.679999999993</v>
      </c>
      <c r="L43" s="23"/>
      <c r="M43" s="229">
        <v>3081.75</v>
      </c>
      <c r="O43" s="229"/>
      <c r="P43" s="229"/>
    </row>
    <row r="44" spans="1:16" ht="16.5">
      <c r="A44" s="118" t="s">
        <v>29</v>
      </c>
      <c r="B44" s="227" t="s">
        <v>625</v>
      </c>
      <c r="C44" s="23">
        <v>552459.9</v>
      </c>
      <c r="D44" s="23">
        <v>2104602.3199999998</v>
      </c>
      <c r="E44" s="23"/>
      <c r="F44" s="23"/>
      <c r="G44" s="23"/>
      <c r="H44" s="229"/>
      <c r="I44" s="23"/>
      <c r="J44" s="23">
        <v>30039.78</v>
      </c>
      <c r="K44" s="23">
        <v>331942.38</v>
      </c>
      <c r="L44" s="23"/>
      <c r="M44" s="229">
        <v>40322.75</v>
      </c>
      <c r="O44" s="229"/>
      <c r="P44" s="229"/>
    </row>
    <row r="45" spans="1:16" ht="16.5">
      <c r="A45" s="118" t="s">
        <v>148</v>
      </c>
      <c r="B45" s="227" t="s">
        <v>626</v>
      </c>
      <c r="C45" s="23">
        <v>22356.98</v>
      </c>
      <c r="D45" s="23">
        <v>206738.75</v>
      </c>
      <c r="E45" s="23"/>
      <c r="F45" s="23"/>
      <c r="G45" s="23"/>
      <c r="H45" s="229"/>
      <c r="I45" s="23"/>
      <c r="J45" s="23">
        <v>7975</v>
      </c>
      <c r="K45" s="23">
        <v>35440</v>
      </c>
      <c r="L45" s="23"/>
      <c r="O45" s="229"/>
      <c r="P45" s="229"/>
    </row>
    <row r="46" spans="1:16" ht="16.5">
      <c r="A46" s="118" t="s">
        <v>150</v>
      </c>
      <c r="B46" s="227" t="s">
        <v>1800</v>
      </c>
      <c r="C46" s="23">
        <v>14012.68</v>
      </c>
      <c r="D46" s="23">
        <v>143641.84</v>
      </c>
      <c r="E46" s="23"/>
      <c r="F46" s="23"/>
      <c r="G46" s="23"/>
      <c r="H46" s="229">
        <v>13774</v>
      </c>
      <c r="I46" s="23"/>
      <c r="J46" s="23">
        <v>5631</v>
      </c>
      <c r="K46" s="23">
        <v>28621</v>
      </c>
      <c r="L46" s="23"/>
      <c r="O46" s="229"/>
      <c r="P46" s="229"/>
    </row>
    <row r="47" spans="1:16" ht="16.5">
      <c r="A47" s="118" t="s">
        <v>133</v>
      </c>
      <c r="B47" s="227" t="s">
        <v>1802</v>
      </c>
      <c r="C47" s="23">
        <v>183727.37</v>
      </c>
      <c r="D47" s="23">
        <v>973201.23</v>
      </c>
      <c r="E47" s="23"/>
      <c r="F47" s="23"/>
      <c r="G47" s="23"/>
      <c r="H47" s="229"/>
      <c r="I47" s="23"/>
      <c r="J47" s="23">
        <v>49782.1</v>
      </c>
      <c r="K47" s="23">
        <v>134430.25</v>
      </c>
      <c r="L47" s="23"/>
      <c r="M47" s="229">
        <v>8234.92</v>
      </c>
      <c r="O47" s="229"/>
      <c r="P47" s="229"/>
    </row>
    <row r="48" spans="1:16" ht="16.5">
      <c r="A48" s="118" t="s">
        <v>134</v>
      </c>
      <c r="B48" s="227" t="s">
        <v>627</v>
      </c>
      <c r="C48" s="23">
        <v>461600.61</v>
      </c>
      <c r="D48" s="23">
        <v>2135237.6</v>
      </c>
      <c r="E48" s="23"/>
      <c r="F48" s="23"/>
      <c r="G48" s="23"/>
      <c r="H48" s="229"/>
      <c r="I48" s="23"/>
      <c r="J48" s="23">
        <v>84931</v>
      </c>
      <c r="K48" s="23">
        <v>399988</v>
      </c>
      <c r="L48" s="23"/>
      <c r="M48" s="229">
        <v>3917.97</v>
      </c>
      <c r="O48" s="229"/>
      <c r="P48" s="229"/>
    </row>
    <row r="49" spans="1:16" ht="16.5">
      <c r="A49" s="118" t="s">
        <v>136</v>
      </c>
      <c r="B49" s="227" t="s">
        <v>628</v>
      </c>
      <c r="C49" s="23">
        <v>161813.84</v>
      </c>
      <c r="D49" s="23">
        <v>751939.31</v>
      </c>
      <c r="E49" s="23"/>
      <c r="F49" s="23"/>
      <c r="G49" s="23"/>
      <c r="H49" s="229"/>
      <c r="I49" s="23"/>
      <c r="J49" s="23">
        <v>28440</v>
      </c>
      <c r="K49" s="23">
        <v>175810</v>
      </c>
      <c r="L49" s="23"/>
      <c r="O49" s="229"/>
      <c r="P49" s="229"/>
    </row>
    <row r="50" spans="1:16" ht="16.5">
      <c r="A50" s="118" t="s">
        <v>138</v>
      </c>
      <c r="B50" s="227" t="s">
        <v>629</v>
      </c>
      <c r="C50" s="23">
        <v>63891.44</v>
      </c>
      <c r="D50" s="23">
        <v>505291.68</v>
      </c>
      <c r="E50" s="23"/>
      <c r="F50" s="23"/>
      <c r="G50" s="23"/>
      <c r="H50" s="229"/>
      <c r="I50" s="23"/>
      <c r="K50" s="23">
        <v>83119</v>
      </c>
      <c r="L50" s="23"/>
      <c r="M50" s="229">
        <v>12508.76</v>
      </c>
      <c r="O50" s="229"/>
      <c r="P50" s="229"/>
    </row>
    <row r="51" spans="1:16" ht="16.5">
      <c r="A51" s="118" t="s">
        <v>140</v>
      </c>
      <c r="B51" s="227" t="s">
        <v>630</v>
      </c>
      <c r="C51" s="23">
        <v>42363.05</v>
      </c>
      <c r="D51" s="23">
        <v>209960.65</v>
      </c>
      <c r="E51" s="23"/>
      <c r="F51" s="23"/>
      <c r="G51" s="23"/>
      <c r="H51" s="229"/>
      <c r="I51" s="23"/>
      <c r="K51" s="23">
        <v>40236</v>
      </c>
      <c r="L51" s="23"/>
      <c r="O51" s="229"/>
      <c r="P51" s="229"/>
    </row>
    <row r="52" spans="1:16" ht="16.5">
      <c r="A52" s="118" t="s">
        <v>142</v>
      </c>
      <c r="B52" s="227" t="s">
        <v>848</v>
      </c>
      <c r="C52" s="23">
        <v>43666.22</v>
      </c>
      <c r="D52" s="23">
        <v>161923.17000000001</v>
      </c>
      <c r="E52" s="23"/>
      <c r="F52" s="23"/>
      <c r="G52" s="23"/>
      <c r="H52" s="229"/>
      <c r="I52" s="23"/>
      <c r="J52" s="23">
        <v>9056</v>
      </c>
      <c r="K52" s="23">
        <v>46204</v>
      </c>
      <c r="L52" s="23"/>
      <c r="O52" s="229">
        <v>833.3</v>
      </c>
      <c r="P52" s="229"/>
    </row>
    <row r="53" spans="1:16" ht="16.5">
      <c r="A53" s="118" t="s">
        <v>143</v>
      </c>
      <c r="B53" s="227" t="s">
        <v>631</v>
      </c>
      <c r="C53" s="23">
        <v>316279.94</v>
      </c>
      <c r="D53" s="23">
        <v>1610298.16</v>
      </c>
      <c r="E53" s="23"/>
      <c r="F53" s="23"/>
      <c r="G53" s="23"/>
      <c r="H53" s="229"/>
      <c r="I53" s="23"/>
      <c r="J53" s="23">
        <v>47182</v>
      </c>
      <c r="K53" s="23">
        <v>206330</v>
      </c>
      <c r="L53" s="23"/>
      <c r="O53" s="229"/>
      <c r="P53" s="229"/>
    </row>
    <row r="54" spans="1:16" ht="16.5">
      <c r="A54" s="118" t="s">
        <v>12</v>
      </c>
      <c r="B54" s="227" t="s">
        <v>632</v>
      </c>
      <c r="C54" s="23">
        <v>43576.79</v>
      </c>
      <c r="D54" s="23">
        <v>288925.63</v>
      </c>
      <c r="E54" s="23"/>
      <c r="F54" s="23"/>
      <c r="G54" s="23"/>
      <c r="H54" s="229"/>
      <c r="I54" s="23"/>
      <c r="K54" s="23">
        <v>62036</v>
      </c>
      <c r="L54" s="23"/>
      <c r="O54" s="229"/>
      <c r="P54" s="229"/>
    </row>
    <row r="55" spans="1:16" ht="16.5">
      <c r="A55" s="118" t="s">
        <v>145</v>
      </c>
      <c r="B55" s="227" t="s">
        <v>633</v>
      </c>
      <c r="C55" s="23">
        <v>24480.080000000002</v>
      </c>
      <c r="D55" s="23">
        <v>106157.58</v>
      </c>
      <c r="E55" s="23"/>
      <c r="F55" s="23"/>
      <c r="G55" s="23"/>
      <c r="H55" s="229"/>
      <c r="I55" s="23"/>
      <c r="J55" s="23">
        <v>3628</v>
      </c>
      <c r="K55" s="23">
        <v>17309</v>
      </c>
      <c r="L55" s="23"/>
      <c r="O55" s="229"/>
      <c r="P55" s="229"/>
    </row>
    <row r="56" spans="1:16" ht="16.5">
      <c r="A56" s="118" t="s">
        <v>402</v>
      </c>
      <c r="B56" s="227" t="s">
        <v>634</v>
      </c>
      <c r="C56" s="23">
        <v>30951.95</v>
      </c>
      <c r="D56" s="23">
        <v>276785.96999999997</v>
      </c>
      <c r="E56" s="23"/>
      <c r="F56" s="23"/>
      <c r="G56" s="23"/>
      <c r="H56" s="229"/>
      <c r="I56" s="23"/>
      <c r="K56" s="23">
        <v>45485.61</v>
      </c>
      <c r="L56" s="23"/>
      <c r="O56" s="229"/>
      <c r="P56" s="229"/>
    </row>
    <row r="57" spans="1:16" ht="16.5">
      <c r="A57" s="118" t="s">
        <v>404</v>
      </c>
      <c r="B57" s="227" t="s">
        <v>635</v>
      </c>
      <c r="C57" s="23">
        <v>81593.789999999994</v>
      </c>
      <c r="D57" s="23">
        <v>401608.98</v>
      </c>
      <c r="E57" s="23"/>
      <c r="F57" s="23"/>
      <c r="G57" s="23"/>
      <c r="H57" s="229">
        <v>7871</v>
      </c>
      <c r="I57" s="23"/>
      <c r="J57" s="23">
        <v>1055.8</v>
      </c>
      <c r="K57" s="23">
        <v>72944.84</v>
      </c>
      <c r="L57" s="23"/>
      <c r="M57" s="229">
        <v>4312.46</v>
      </c>
      <c r="O57" s="229"/>
      <c r="P57" s="229"/>
    </row>
    <row r="58" spans="1:16" ht="16.5">
      <c r="A58" s="118" t="s">
        <v>406</v>
      </c>
      <c r="B58" s="227" t="s">
        <v>636</v>
      </c>
      <c r="C58" s="23">
        <v>2659.46</v>
      </c>
      <c r="D58" s="23">
        <v>52183.199999999997</v>
      </c>
      <c r="E58" s="23"/>
      <c r="F58" s="23"/>
      <c r="G58" s="23"/>
      <c r="H58" s="229"/>
      <c r="I58" s="23"/>
      <c r="K58" s="23"/>
      <c r="L58" s="23"/>
      <c r="O58" s="229"/>
      <c r="P58" s="229"/>
    </row>
    <row r="59" spans="1:16" ht="16.5">
      <c r="A59" s="118" t="s">
        <v>224</v>
      </c>
      <c r="B59" s="227" t="s">
        <v>637</v>
      </c>
      <c r="C59" s="23">
        <v>117800.96000000001</v>
      </c>
      <c r="D59" s="23">
        <v>566614.32999999996</v>
      </c>
      <c r="E59" s="23"/>
      <c r="F59" s="23"/>
      <c r="G59" s="23"/>
      <c r="H59" s="229"/>
      <c r="I59" s="23"/>
      <c r="J59" s="23">
        <v>19979</v>
      </c>
      <c r="K59" s="23">
        <v>78548.66</v>
      </c>
      <c r="L59" s="23"/>
      <c r="M59" s="229">
        <v>14452.88</v>
      </c>
      <c r="O59" s="229"/>
      <c r="P59" s="229"/>
    </row>
    <row r="60" spans="1:16" ht="16.5">
      <c r="A60" s="118" t="s">
        <v>226</v>
      </c>
      <c r="B60" s="227" t="s">
        <v>638</v>
      </c>
      <c r="C60" s="23">
        <v>101745</v>
      </c>
      <c r="D60" s="23">
        <v>694291.36</v>
      </c>
      <c r="E60" s="23"/>
      <c r="F60" s="23"/>
      <c r="G60" s="23"/>
      <c r="H60" s="229"/>
      <c r="I60" s="23"/>
      <c r="J60" s="23">
        <v>27680</v>
      </c>
      <c r="K60" s="23">
        <v>97027.34</v>
      </c>
      <c r="L60" s="23"/>
      <c r="O60" s="229"/>
      <c r="P60" s="229"/>
    </row>
    <row r="61" spans="1:16" ht="16.5">
      <c r="A61" s="118" t="s">
        <v>228</v>
      </c>
      <c r="B61" s="227" t="s">
        <v>900</v>
      </c>
      <c r="C61" s="23">
        <v>76268.91</v>
      </c>
      <c r="D61" s="23">
        <v>411387.19</v>
      </c>
      <c r="E61" s="23"/>
      <c r="F61" s="23"/>
      <c r="G61" s="23"/>
      <c r="H61" s="229"/>
      <c r="I61" s="23"/>
      <c r="K61" s="23"/>
      <c r="L61" s="23"/>
      <c r="O61" s="229"/>
      <c r="P61" s="229"/>
    </row>
    <row r="62" spans="1:16" ht="16.5">
      <c r="A62" s="118" t="s">
        <v>355</v>
      </c>
      <c r="B62" s="227" t="s">
        <v>639</v>
      </c>
      <c r="C62" s="23">
        <v>548493.79</v>
      </c>
      <c r="D62" s="23">
        <v>2647165.4300000002</v>
      </c>
      <c r="E62" s="23"/>
      <c r="F62" s="23"/>
      <c r="G62" s="23"/>
      <c r="H62" s="229"/>
      <c r="I62" s="23"/>
      <c r="J62" s="23">
        <v>32453.45</v>
      </c>
      <c r="K62" s="23">
        <v>504786.59</v>
      </c>
      <c r="L62" s="23"/>
      <c r="O62" s="229"/>
      <c r="P62" s="229"/>
    </row>
    <row r="63" spans="1:16" ht="16.5">
      <c r="A63" s="118" t="s">
        <v>357</v>
      </c>
      <c r="B63" s="227" t="s">
        <v>640</v>
      </c>
      <c r="C63" s="23">
        <v>342032.52</v>
      </c>
      <c r="D63" s="23">
        <v>1905535.07</v>
      </c>
      <c r="E63" s="23"/>
      <c r="F63" s="23">
        <v>3185.01</v>
      </c>
      <c r="G63" s="23"/>
      <c r="H63" s="229"/>
      <c r="I63" s="23"/>
      <c r="K63" s="23">
        <v>234350.33</v>
      </c>
      <c r="L63" s="23"/>
      <c r="M63" s="229">
        <v>9501.5400000000009</v>
      </c>
      <c r="O63" s="229"/>
      <c r="P63" s="229"/>
    </row>
    <row r="64" spans="1:16" ht="16.5">
      <c r="A64" s="118" t="s">
        <v>359</v>
      </c>
      <c r="B64" s="227" t="s">
        <v>901</v>
      </c>
      <c r="C64" s="23">
        <v>2820.4</v>
      </c>
      <c r="D64" s="23">
        <v>16112.23</v>
      </c>
      <c r="E64" s="23"/>
      <c r="F64" s="23"/>
      <c r="G64" s="23"/>
      <c r="H64" s="229"/>
      <c r="I64" s="23"/>
      <c r="K64" s="23"/>
      <c r="L64" s="23"/>
      <c r="O64" s="229"/>
      <c r="P64" s="229"/>
    </row>
    <row r="65" spans="1:16" ht="16.5">
      <c r="A65" s="118" t="s">
        <v>230</v>
      </c>
      <c r="B65" s="227" t="s">
        <v>861</v>
      </c>
      <c r="C65" s="23">
        <v>1195915.95</v>
      </c>
      <c r="D65" s="23">
        <v>4930157.88</v>
      </c>
      <c r="E65" s="23"/>
      <c r="F65" s="23"/>
      <c r="G65" s="23"/>
      <c r="H65" s="229"/>
      <c r="I65" s="23"/>
      <c r="J65" s="23">
        <v>125893.05</v>
      </c>
      <c r="K65" s="23">
        <v>835053.8</v>
      </c>
      <c r="L65" s="23"/>
      <c r="O65" s="229"/>
      <c r="P65" s="229"/>
    </row>
    <row r="66" spans="1:16" ht="16.5">
      <c r="A66" s="118" t="s">
        <v>231</v>
      </c>
      <c r="B66" s="227" t="s">
        <v>862</v>
      </c>
      <c r="C66" s="23">
        <v>770979.96</v>
      </c>
      <c r="D66" s="23">
        <v>3704848.81</v>
      </c>
      <c r="E66" s="23"/>
      <c r="F66" s="23"/>
      <c r="G66" s="23"/>
      <c r="H66" s="229"/>
      <c r="I66" s="23"/>
      <c r="J66" s="23">
        <v>85578.94</v>
      </c>
      <c r="K66" s="23">
        <v>618770.97</v>
      </c>
      <c r="L66" s="23"/>
      <c r="O66" s="229"/>
      <c r="P66" s="229"/>
    </row>
    <row r="67" spans="1:16" ht="16.5">
      <c r="A67" s="118" t="s">
        <v>232</v>
      </c>
      <c r="B67" s="227" t="s">
        <v>641</v>
      </c>
      <c r="C67" s="23">
        <v>1093451.6000000001</v>
      </c>
      <c r="D67" s="23">
        <v>6243055.3499999996</v>
      </c>
      <c r="E67" s="23"/>
      <c r="F67" s="23">
        <v>50819.58</v>
      </c>
      <c r="G67" s="23"/>
      <c r="H67" s="229"/>
      <c r="I67" s="23"/>
      <c r="J67" s="23">
        <v>157935.1</v>
      </c>
      <c r="K67" s="23">
        <v>1034142.78</v>
      </c>
      <c r="L67" s="23"/>
      <c r="M67" s="229">
        <v>96034.85</v>
      </c>
      <c r="O67" s="229"/>
      <c r="P67" s="229"/>
    </row>
    <row r="68" spans="1:16" ht="16.5">
      <c r="A68" s="118" t="s">
        <v>234</v>
      </c>
      <c r="B68" s="227" t="s">
        <v>642</v>
      </c>
      <c r="C68" s="23">
        <v>7051.6</v>
      </c>
      <c r="D68" s="23">
        <v>110952.79</v>
      </c>
      <c r="E68" s="23"/>
      <c r="F68" s="23"/>
      <c r="G68" s="23"/>
      <c r="H68" s="229"/>
      <c r="I68" s="23"/>
      <c r="J68" s="23">
        <v>4993</v>
      </c>
      <c r="K68" s="23">
        <v>21797</v>
      </c>
      <c r="L68" s="23"/>
      <c r="O68" s="229"/>
      <c r="P68" s="229"/>
    </row>
    <row r="69" spans="1:16" ht="16.5">
      <c r="A69" s="118" t="s">
        <v>236</v>
      </c>
      <c r="B69" s="227" t="s">
        <v>643</v>
      </c>
      <c r="C69" s="23">
        <v>411757.95</v>
      </c>
      <c r="D69" s="23">
        <v>2088410.64</v>
      </c>
      <c r="E69" s="23"/>
      <c r="F69" s="23">
        <v>5964.7</v>
      </c>
      <c r="G69" s="23"/>
      <c r="H69" s="229"/>
      <c r="I69" s="23"/>
      <c r="K69" s="23">
        <v>261379.72</v>
      </c>
      <c r="L69" s="23"/>
      <c r="M69" s="229">
        <v>13477.89</v>
      </c>
      <c r="O69" s="229"/>
      <c r="P69" s="229"/>
    </row>
    <row r="70" spans="1:16" ht="16.5">
      <c r="A70" s="118" t="s">
        <v>238</v>
      </c>
      <c r="B70" s="227" t="s">
        <v>644</v>
      </c>
      <c r="C70" s="23">
        <v>7760431.1600000001</v>
      </c>
      <c r="D70" s="23">
        <v>30707229.16</v>
      </c>
      <c r="E70" s="23"/>
      <c r="F70" s="23"/>
      <c r="G70" s="23"/>
      <c r="H70" s="229"/>
      <c r="I70" s="23"/>
      <c r="J70" s="23">
        <v>960186</v>
      </c>
      <c r="K70" s="23">
        <v>4334565.93</v>
      </c>
      <c r="L70" s="23"/>
      <c r="M70" s="229">
        <v>232587.8</v>
      </c>
      <c r="O70" s="229">
        <v>2899859</v>
      </c>
      <c r="P70" s="229"/>
    </row>
    <row r="71" spans="1:16" ht="16.5">
      <c r="A71" s="118" t="s">
        <v>240</v>
      </c>
      <c r="B71" s="227" t="s">
        <v>645</v>
      </c>
      <c r="C71" s="23">
        <v>714098.75</v>
      </c>
      <c r="D71" s="23">
        <v>3815244.84</v>
      </c>
      <c r="E71" s="23"/>
      <c r="F71" s="23">
        <v>10182.16</v>
      </c>
      <c r="G71" s="23"/>
      <c r="H71" s="229"/>
      <c r="I71" s="23"/>
      <c r="J71" s="23">
        <v>144230.89000000001</v>
      </c>
      <c r="K71" s="23">
        <v>650521.31000000006</v>
      </c>
      <c r="L71" s="23"/>
      <c r="M71" s="229">
        <v>11640.71</v>
      </c>
      <c r="O71" s="229">
        <v>37301.56</v>
      </c>
      <c r="P71" s="229"/>
    </row>
    <row r="72" spans="1:16" ht="16.5">
      <c r="A72" s="118" t="s">
        <v>409</v>
      </c>
      <c r="B72" s="227" t="s">
        <v>646</v>
      </c>
      <c r="C72" s="23">
        <v>626084.98</v>
      </c>
      <c r="D72" s="23">
        <v>2059772.58</v>
      </c>
      <c r="E72" s="23"/>
      <c r="F72" s="23">
        <v>2434.84</v>
      </c>
      <c r="G72" s="23"/>
      <c r="H72" s="229"/>
      <c r="I72" s="23">
        <v>77726.81</v>
      </c>
      <c r="K72" s="23">
        <v>423955.57</v>
      </c>
      <c r="L72" s="23"/>
      <c r="M72" s="229">
        <v>3022.69</v>
      </c>
      <c r="O72" s="229"/>
      <c r="P72" s="229"/>
    </row>
    <row r="73" spans="1:16" ht="16.5">
      <c r="A73" s="118" t="s">
        <v>411</v>
      </c>
      <c r="B73" s="227" t="s">
        <v>647</v>
      </c>
      <c r="C73" s="23">
        <v>9710.9500000000007</v>
      </c>
      <c r="D73" s="23">
        <v>96034.27</v>
      </c>
      <c r="E73" s="23"/>
      <c r="F73" s="23"/>
      <c r="G73" s="23"/>
      <c r="H73" s="229"/>
      <c r="I73" s="23"/>
      <c r="J73" s="23">
        <v>4901</v>
      </c>
      <c r="K73" s="23">
        <v>18913</v>
      </c>
      <c r="L73" s="23"/>
      <c r="O73" s="229"/>
      <c r="P73" s="229"/>
    </row>
    <row r="74" spans="1:16" ht="16.5">
      <c r="A74" s="118" t="s">
        <v>413</v>
      </c>
      <c r="B74" s="227" t="s">
        <v>648</v>
      </c>
      <c r="C74" s="23">
        <v>40393.14</v>
      </c>
      <c r="D74" s="23">
        <v>345100.94</v>
      </c>
      <c r="E74" s="23"/>
      <c r="F74" s="23"/>
      <c r="G74" s="23"/>
      <c r="H74" s="229"/>
      <c r="I74" s="23"/>
      <c r="K74" s="23">
        <v>88107</v>
      </c>
      <c r="L74" s="23"/>
      <c r="O74" s="229"/>
      <c r="P74" s="229"/>
    </row>
    <row r="75" spans="1:16" ht="16.5">
      <c r="A75" s="118" t="s">
        <v>415</v>
      </c>
      <c r="B75" s="227" t="s">
        <v>649</v>
      </c>
      <c r="C75" s="23">
        <v>1321969.6599999999</v>
      </c>
      <c r="D75" s="23">
        <v>6823614.2199999997</v>
      </c>
      <c r="E75" s="23"/>
      <c r="F75" s="23">
        <v>17261.12</v>
      </c>
      <c r="G75" s="23"/>
      <c r="H75" s="229"/>
      <c r="I75" s="23"/>
      <c r="J75" s="23">
        <v>9515.66</v>
      </c>
      <c r="K75" s="23">
        <v>999669.27</v>
      </c>
      <c r="L75" s="23"/>
      <c r="M75" s="229">
        <v>59332.94</v>
      </c>
      <c r="O75" s="229"/>
      <c r="P75" s="229"/>
    </row>
    <row r="76" spans="1:16" ht="16.5">
      <c r="A76" s="118" t="s">
        <v>417</v>
      </c>
      <c r="B76" s="227" t="s">
        <v>650</v>
      </c>
      <c r="C76" s="23">
        <v>562469.68999999994</v>
      </c>
      <c r="D76" s="23">
        <v>3082578.11</v>
      </c>
      <c r="E76" s="23"/>
      <c r="F76" s="23"/>
      <c r="G76" s="23"/>
      <c r="H76" s="229"/>
      <c r="I76" s="23"/>
      <c r="J76" s="23">
        <v>133402.19</v>
      </c>
      <c r="K76" s="23">
        <v>523954.36</v>
      </c>
      <c r="L76" s="23"/>
      <c r="O76" s="229"/>
      <c r="P76" s="229"/>
    </row>
    <row r="77" spans="1:16" ht="16.5">
      <c r="A77" s="118" t="s">
        <v>419</v>
      </c>
      <c r="B77" s="227" t="s">
        <v>651</v>
      </c>
      <c r="C77" s="23">
        <v>4179.16</v>
      </c>
      <c r="D77" s="23">
        <v>58048.35</v>
      </c>
      <c r="E77" s="23"/>
      <c r="F77" s="23"/>
      <c r="G77" s="23"/>
      <c r="H77" s="229"/>
      <c r="I77" s="23"/>
      <c r="K77" s="23">
        <v>8826</v>
      </c>
      <c r="L77" s="23"/>
      <c r="O77" s="229"/>
      <c r="P77" s="229"/>
    </row>
    <row r="78" spans="1:16" ht="16.5">
      <c r="A78" s="118" t="s">
        <v>513</v>
      </c>
      <c r="B78" s="227" t="s">
        <v>652</v>
      </c>
      <c r="C78" s="23">
        <v>6991110.4400000004</v>
      </c>
      <c r="D78" s="23">
        <v>29309990.829999998</v>
      </c>
      <c r="E78" s="23"/>
      <c r="F78" s="23"/>
      <c r="G78" s="23"/>
      <c r="H78" s="229"/>
      <c r="I78" s="23"/>
      <c r="J78" s="23">
        <v>543129.86</v>
      </c>
      <c r="K78" s="23">
        <v>5024819.75</v>
      </c>
      <c r="L78" s="23"/>
      <c r="O78" s="229">
        <v>46543.7</v>
      </c>
      <c r="P78" s="229"/>
    </row>
    <row r="79" spans="1:16" ht="16.5">
      <c r="A79" s="118" t="s">
        <v>515</v>
      </c>
      <c r="B79" s="227" t="s">
        <v>863</v>
      </c>
      <c r="C79" s="23">
        <v>6167208.3200000003</v>
      </c>
      <c r="D79" s="23">
        <v>31313292.629999999</v>
      </c>
      <c r="E79" s="23"/>
      <c r="F79" s="23"/>
      <c r="G79" s="23"/>
      <c r="H79" s="229"/>
      <c r="I79" s="23"/>
      <c r="J79" s="23">
        <v>716377.48</v>
      </c>
      <c r="K79" s="23">
        <v>4712838.84</v>
      </c>
      <c r="L79" s="23"/>
      <c r="M79" s="229">
        <v>166251.39000000001</v>
      </c>
      <c r="O79" s="229">
        <v>178372</v>
      </c>
      <c r="P79" s="229"/>
    </row>
    <row r="80" spans="1:16" ht="16.5">
      <c r="A80" s="118" t="s">
        <v>516</v>
      </c>
      <c r="B80" s="227" t="s">
        <v>1799</v>
      </c>
      <c r="C80" s="23">
        <v>859.04</v>
      </c>
      <c r="D80" s="23">
        <v>13203.78</v>
      </c>
      <c r="E80" s="23"/>
      <c r="F80" s="23"/>
      <c r="G80" s="23"/>
      <c r="H80" s="229"/>
      <c r="I80" s="23"/>
      <c r="K80" s="23">
        <v>12274.05</v>
      </c>
      <c r="L80" s="23"/>
      <c r="O80" s="229"/>
      <c r="P80" s="229"/>
    </row>
    <row r="81" spans="1:16" ht="16.5">
      <c r="A81" s="118" t="s">
        <v>517</v>
      </c>
      <c r="B81" s="227" t="s">
        <v>653</v>
      </c>
      <c r="C81" s="23">
        <v>6940969.96</v>
      </c>
      <c r="D81" s="23">
        <v>29922416.77</v>
      </c>
      <c r="E81" s="23"/>
      <c r="F81" s="23"/>
      <c r="G81" s="23"/>
      <c r="H81" s="229"/>
      <c r="I81" s="23"/>
      <c r="J81" s="23">
        <v>1214424</v>
      </c>
      <c r="K81" s="23">
        <v>4810089</v>
      </c>
      <c r="L81" s="23"/>
      <c r="M81" s="229">
        <v>36654.769999999997</v>
      </c>
      <c r="O81" s="229">
        <v>930682.92</v>
      </c>
      <c r="P81" s="229"/>
    </row>
    <row r="82" spans="1:16" ht="16.5">
      <c r="A82" s="118" t="s">
        <v>420</v>
      </c>
      <c r="B82" s="227" t="s">
        <v>654</v>
      </c>
      <c r="C82" s="23">
        <v>1325384.05</v>
      </c>
      <c r="D82" s="23">
        <v>6455263.1399999997</v>
      </c>
      <c r="E82" s="23"/>
      <c r="F82" s="23"/>
      <c r="G82" s="23"/>
      <c r="H82" s="229">
        <v>96417</v>
      </c>
      <c r="I82" s="23"/>
      <c r="J82" s="23">
        <v>29902.44</v>
      </c>
      <c r="K82" s="23">
        <v>1436878.55</v>
      </c>
      <c r="L82" s="23"/>
      <c r="O82" s="229"/>
      <c r="P82" s="229"/>
    </row>
    <row r="83" spans="1:16" ht="16.5">
      <c r="A83" s="118" t="s">
        <v>422</v>
      </c>
      <c r="B83" s="227" t="s">
        <v>655</v>
      </c>
      <c r="C83" s="23">
        <v>1029380.62</v>
      </c>
      <c r="D83" s="23">
        <v>4345182.99</v>
      </c>
      <c r="E83" s="23"/>
      <c r="F83" s="23"/>
      <c r="G83" s="23"/>
      <c r="H83" s="229"/>
      <c r="I83" s="23"/>
      <c r="J83" s="23">
        <v>72259.97</v>
      </c>
      <c r="K83" s="23">
        <v>774777</v>
      </c>
      <c r="L83" s="23"/>
      <c r="M83" s="229">
        <v>54612.25</v>
      </c>
      <c r="O83" s="229"/>
      <c r="P83" s="229"/>
    </row>
    <row r="84" spans="1:16" ht="16.5">
      <c r="A84" s="118" t="s">
        <v>424</v>
      </c>
      <c r="B84" s="227" t="s">
        <v>656</v>
      </c>
      <c r="C84" s="23">
        <v>165550.34</v>
      </c>
      <c r="D84" s="23">
        <v>1026771.61</v>
      </c>
      <c r="E84" s="23"/>
      <c r="F84" s="23"/>
      <c r="G84" s="23"/>
      <c r="H84" s="229"/>
      <c r="I84" s="23"/>
      <c r="J84" s="23">
        <v>49528</v>
      </c>
      <c r="K84" s="23">
        <v>223581.43</v>
      </c>
      <c r="L84" s="23"/>
      <c r="M84" s="229">
        <v>27974.39</v>
      </c>
      <c r="O84" s="229"/>
      <c r="P84" s="229"/>
    </row>
    <row r="85" spans="1:16" ht="16.5">
      <c r="A85" s="118" t="s">
        <v>426</v>
      </c>
      <c r="B85" s="227" t="s">
        <v>657</v>
      </c>
      <c r="C85" s="23">
        <v>2266625.6</v>
      </c>
      <c r="D85" s="23">
        <v>9937086.4199999999</v>
      </c>
      <c r="E85" s="23"/>
      <c r="F85" s="23"/>
      <c r="G85" s="23"/>
      <c r="H85" s="229"/>
      <c r="I85" s="23"/>
      <c r="K85" s="23">
        <v>1965538.56</v>
      </c>
      <c r="L85" s="23"/>
      <c r="M85" s="229">
        <v>101719.2</v>
      </c>
      <c r="O85" s="229"/>
      <c r="P85" s="229"/>
    </row>
    <row r="86" spans="1:16" ht="16.5">
      <c r="A86" s="118" t="s">
        <v>428</v>
      </c>
      <c r="B86" s="227" t="s">
        <v>658</v>
      </c>
      <c r="C86" s="23">
        <v>176410.96</v>
      </c>
      <c r="D86" s="23">
        <v>1029588.23</v>
      </c>
      <c r="E86" s="23"/>
      <c r="F86" s="23"/>
      <c r="G86" s="23"/>
      <c r="H86" s="229"/>
      <c r="I86" s="23"/>
      <c r="K86" s="23">
        <v>114025.66</v>
      </c>
      <c r="L86" s="23"/>
      <c r="O86" s="229"/>
      <c r="P86" s="229"/>
    </row>
    <row r="87" spans="1:16" ht="16.5">
      <c r="A87" s="118" t="s">
        <v>430</v>
      </c>
      <c r="B87" s="227" t="s">
        <v>659</v>
      </c>
      <c r="C87" s="23">
        <v>16265.27</v>
      </c>
      <c r="D87" s="23">
        <v>140817.25</v>
      </c>
      <c r="E87" s="23"/>
      <c r="F87" s="23"/>
      <c r="G87" s="23"/>
      <c r="H87" s="229"/>
      <c r="I87" s="23"/>
      <c r="J87" s="23">
        <v>6030</v>
      </c>
      <c r="K87" s="23">
        <v>32816</v>
      </c>
      <c r="L87" s="23"/>
      <c r="O87" s="229"/>
      <c r="P87" s="229"/>
    </row>
    <row r="88" spans="1:16" ht="16.5">
      <c r="A88" s="118" t="s">
        <v>432</v>
      </c>
      <c r="B88" s="227" t="s">
        <v>902</v>
      </c>
      <c r="C88" s="23">
        <v>16354.17</v>
      </c>
      <c r="D88" s="23">
        <v>83712.490000000005</v>
      </c>
      <c r="E88" s="23"/>
      <c r="F88" s="23"/>
      <c r="G88" s="23"/>
      <c r="H88" s="229"/>
      <c r="I88" s="23"/>
      <c r="K88" s="23"/>
      <c r="L88" s="23"/>
      <c r="O88" s="229"/>
      <c r="P88" s="229"/>
    </row>
    <row r="89" spans="1:16" ht="16.5">
      <c r="A89" s="118" t="s">
        <v>434</v>
      </c>
      <c r="B89" s="227" t="s">
        <v>903</v>
      </c>
      <c r="C89" s="23">
        <v>508781.88</v>
      </c>
      <c r="D89" s="23">
        <v>2498251.42</v>
      </c>
      <c r="E89" s="23"/>
      <c r="F89" s="23"/>
      <c r="G89" s="23"/>
      <c r="H89" s="229"/>
      <c r="I89" s="23"/>
      <c r="K89" s="23"/>
      <c r="L89" s="23"/>
      <c r="O89" s="229"/>
      <c r="P89" s="229"/>
    </row>
    <row r="90" spans="1:16" ht="16.5">
      <c r="A90" s="118" t="s">
        <v>436</v>
      </c>
      <c r="B90" s="227" t="s">
        <v>660</v>
      </c>
      <c r="C90" s="23">
        <v>129973.06</v>
      </c>
      <c r="D90" s="23">
        <v>862003.15</v>
      </c>
      <c r="E90" s="23"/>
      <c r="F90" s="23"/>
      <c r="G90" s="23"/>
      <c r="H90" s="229">
        <v>13820.5</v>
      </c>
      <c r="I90" s="23"/>
      <c r="J90" s="23">
        <v>39480</v>
      </c>
      <c r="K90" s="23">
        <v>171400</v>
      </c>
      <c r="L90" s="23"/>
      <c r="M90" s="229">
        <v>101.5</v>
      </c>
      <c r="O90" s="229"/>
      <c r="P90" s="229"/>
    </row>
    <row r="91" spans="1:16" ht="16.5">
      <c r="A91" s="118" t="s">
        <v>219</v>
      </c>
      <c r="B91" s="227" t="s">
        <v>661</v>
      </c>
      <c r="C91" s="23">
        <v>1163364.05</v>
      </c>
      <c r="D91" s="23">
        <v>4690023.43</v>
      </c>
      <c r="E91" s="23"/>
      <c r="F91" s="23"/>
      <c r="G91" s="23"/>
      <c r="H91" s="229"/>
      <c r="I91" s="23"/>
      <c r="J91" s="23">
        <v>32942.94</v>
      </c>
      <c r="K91" s="23">
        <v>796217</v>
      </c>
      <c r="L91" s="23"/>
      <c r="O91" s="229"/>
      <c r="P91" s="229"/>
    </row>
    <row r="92" spans="1:16" ht="16.5">
      <c r="A92" s="118" t="s">
        <v>221</v>
      </c>
      <c r="B92" s="227" t="s">
        <v>662</v>
      </c>
      <c r="C92" s="23">
        <v>412800.63</v>
      </c>
      <c r="D92" s="23">
        <v>1805051.76</v>
      </c>
      <c r="E92" s="23"/>
      <c r="F92" s="23"/>
      <c r="G92" s="23"/>
      <c r="H92" s="229">
        <v>15742</v>
      </c>
      <c r="I92" s="23"/>
      <c r="J92" s="23">
        <v>36062.769999999997</v>
      </c>
      <c r="K92" s="23">
        <v>291886.7</v>
      </c>
      <c r="L92" s="23"/>
      <c r="O92" s="229"/>
      <c r="P92" s="229"/>
    </row>
    <row r="93" spans="1:16" ht="16.5">
      <c r="A93" s="118" t="s">
        <v>313</v>
      </c>
      <c r="B93" s="227" t="s">
        <v>663</v>
      </c>
      <c r="C93" s="23">
        <v>812395.35</v>
      </c>
      <c r="D93" s="23">
        <v>4326398.16</v>
      </c>
      <c r="E93" s="23"/>
      <c r="F93" s="23">
        <v>1216</v>
      </c>
      <c r="G93" s="23"/>
      <c r="H93" s="229"/>
      <c r="I93" s="23"/>
      <c r="J93" s="23">
        <v>103820</v>
      </c>
      <c r="K93" s="23">
        <v>491345.97</v>
      </c>
      <c r="L93" s="23"/>
      <c r="O93" s="229"/>
      <c r="P93" s="229"/>
    </row>
    <row r="94" spans="1:16" ht="16.5">
      <c r="A94" s="118" t="s">
        <v>439</v>
      </c>
      <c r="B94" s="227" t="s">
        <v>664</v>
      </c>
      <c r="C94" s="23">
        <v>18024.810000000001</v>
      </c>
      <c r="D94" s="23">
        <v>286343.67999999999</v>
      </c>
      <c r="E94" s="23"/>
      <c r="F94" s="23"/>
      <c r="G94" s="23"/>
      <c r="H94" s="229"/>
      <c r="I94" s="23"/>
      <c r="K94" s="23">
        <v>36251</v>
      </c>
      <c r="L94" s="23"/>
      <c r="O94" s="229"/>
      <c r="P94" s="229"/>
    </row>
    <row r="95" spans="1:16" ht="16.5">
      <c r="A95" s="118" t="s">
        <v>441</v>
      </c>
      <c r="B95" s="227" t="s">
        <v>665</v>
      </c>
      <c r="C95" s="23">
        <v>2356.75</v>
      </c>
      <c r="D95" s="23">
        <v>33344.160000000003</v>
      </c>
      <c r="E95" s="23"/>
      <c r="F95" s="23"/>
      <c r="G95" s="23"/>
      <c r="H95" s="229"/>
      <c r="I95" s="23"/>
      <c r="K95" s="23">
        <v>6498</v>
      </c>
      <c r="L95" s="23"/>
      <c r="O95" s="229"/>
      <c r="P95" s="229"/>
    </row>
    <row r="96" spans="1:16" ht="16.5">
      <c r="A96" s="118" t="s">
        <v>443</v>
      </c>
      <c r="B96" s="227" t="s">
        <v>904</v>
      </c>
      <c r="C96" s="23">
        <v>32418.05</v>
      </c>
      <c r="D96" s="23">
        <v>161806.9</v>
      </c>
      <c r="E96" s="23"/>
      <c r="F96" s="23"/>
      <c r="G96" s="23"/>
      <c r="H96" s="229"/>
      <c r="I96" s="23"/>
      <c r="K96" s="23"/>
      <c r="L96" s="23"/>
      <c r="O96" s="229"/>
      <c r="P96" s="229"/>
    </row>
    <row r="97" spans="1:16" ht="16.5">
      <c r="A97" s="118" t="s">
        <v>445</v>
      </c>
      <c r="B97" s="227" t="s">
        <v>666</v>
      </c>
      <c r="C97" s="23">
        <v>98360.45</v>
      </c>
      <c r="D97" s="23">
        <v>786726.79</v>
      </c>
      <c r="E97" s="23"/>
      <c r="F97" s="23"/>
      <c r="G97" s="23"/>
      <c r="H97" s="229"/>
      <c r="I97" s="23"/>
      <c r="J97" s="23">
        <v>23453.35</v>
      </c>
      <c r="K97" s="23">
        <v>124390.38</v>
      </c>
      <c r="L97" s="23"/>
      <c r="M97" s="229">
        <v>13613.8</v>
      </c>
      <c r="O97" s="229"/>
      <c r="P97" s="229"/>
    </row>
    <row r="98" spans="1:16" ht="16.5">
      <c r="A98" s="118" t="s">
        <v>447</v>
      </c>
      <c r="B98" s="227" t="s">
        <v>667</v>
      </c>
      <c r="C98" s="23">
        <v>26505</v>
      </c>
      <c r="D98" s="23">
        <v>149500.87</v>
      </c>
      <c r="E98" s="23"/>
      <c r="F98" s="23"/>
      <c r="G98" s="23"/>
      <c r="H98" s="229"/>
      <c r="I98" s="23"/>
      <c r="J98" s="23">
        <v>7136</v>
      </c>
      <c r="K98" s="23">
        <v>27024</v>
      </c>
      <c r="L98" s="23"/>
      <c r="O98" s="229"/>
      <c r="P98" s="229"/>
    </row>
    <row r="99" spans="1:16" ht="16.5">
      <c r="A99" s="118" t="s">
        <v>449</v>
      </c>
      <c r="B99" s="227" t="s">
        <v>668</v>
      </c>
      <c r="C99" s="23">
        <v>131290.31</v>
      </c>
      <c r="D99" s="23">
        <v>1121379.68</v>
      </c>
      <c r="E99" s="23"/>
      <c r="F99" s="23"/>
      <c r="G99" s="23"/>
      <c r="H99" s="229"/>
      <c r="I99" s="23"/>
      <c r="J99" s="23">
        <v>50230.01</v>
      </c>
      <c r="K99" s="23">
        <v>278644.03999999998</v>
      </c>
      <c r="L99" s="23"/>
      <c r="O99" s="229"/>
      <c r="P99" s="229"/>
    </row>
    <row r="100" spans="1:16" ht="16.5">
      <c r="A100" s="118" t="s">
        <v>332</v>
      </c>
      <c r="B100" s="227" t="s">
        <v>669</v>
      </c>
      <c r="C100" s="23">
        <v>5796687.8300000001</v>
      </c>
      <c r="D100" s="23">
        <v>27922294.219999999</v>
      </c>
      <c r="E100" s="23"/>
      <c r="F100" s="23">
        <v>5684.89</v>
      </c>
      <c r="G100" s="23"/>
      <c r="H100" s="229"/>
      <c r="I100" s="23"/>
      <c r="J100" s="23">
        <v>881195.44</v>
      </c>
      <c r="K100" s="23">
        <v>4424120.2699999996</v>
      </c>
      <c r="L100" s="23"/>
      <c r="M100" s="229">
        <v>9953.09</v>
      </c>
      <c r="O100" s="229">
        <v>951907.04</v>
      </c>
      <c r="P100" s="229"/>
    </row>
    <row r="101" spans="1:16" ht="16.5">
      <c r="A101" s="118" t="s">
        <v>334</v>
      </c>
      <c r="B101" s="227" t="s">
        <v>670</v>
      </c>
      <c r="C101" s="23">
        <v>303116.18</v>
      </c>
      <c r="D101" s="23">
        <v>1911121.08</v>
      </c>
      <c r="E101" s="23"/>
      <c r="F101" s="23">
        <v>5706.89</v>
      </c>
      <c r="G101" s="23"/>
      <c r="H101" s="229"/>
      <c r="I101" s="23"/>
      <c r="J101" s="23">
        <v>84267</v>
      </c>
      <c r="K101" s="23">
        <v>331421.93</v>
      </c>
      <c r="L101" s="23"/>
      <c r="M101" s="229">
        <v>17796.189999999999</v>
      </c>
      <c r="O101" s="229"/>
      <c r="P101" s="229"/>
    </row>
    <row r="102" spans="1:16" ht="16.5">
      <c r="A102" s="118" t="s">
        <v>336</v>
      </c>
      <c r="B102" s="227" t="s">
        <v>671</v>
      </c>
      <c r="C102" s="23">
        <v>60699.97</v>
      </c>
      <c r="D102" s="23">
        <v>352057.86</v>
      </c>
      <c r="E102" s="23"/>
      <c r="F102" s="23"/>
      <c r="G102" s="23"/>
      <c r="H102" s="229">
        <v>24596</v>
      </c>
      <c r="I102" s="23"/>
      <c r="K102" s="23">
        <v>112851.07</v>
      </c>
      <c r="L102" s="23"/>
      <c r="O102" s="229"/>
      <c r="P102" s="229"/>
    </row>
    <row r="103" spans="1:16" ht="16.5">
      <c r="A103" s="118" t="s">
        <v>338</v>
      </c>
      <c r="B103" s="227" t="s">
        <v>672</v>
      </c>
      <c r="C103" s="23">
        <v>366837.17</v>
      </c>
      <c r="D103" s="23">
        <v>1937403.29</v>
      </c>
      <c r="E103" s="23"/>
      <c r="F103" s="23"/>
      <c r="G103" s="23"/>
      <c r="H103" s="229"/>
      <c r="I103" s="23"/>
      <c r="K103" s="23">
        <v>342249.19</v>
      </c>
      <c r="L103" s="23"/>
      <c r="O103" s="229"/>
      <c r="P103" s="229"/>
    </row>
    <row r="104" spans="1:16" ht="16.5">
      <c r="A104" s="118" t="s">
        <v>1509</v>
      </c>
      <c r="B104" s="227" t="s">
        <v>1792</v>
      </c>
      <c r="C104" s="23">
        <v>31825.81</v>
      </c>
      <c r="D104" s="23">
        <v>129004.01</v>
      </c>
      <c r="E104" s="23"/>
      <c r="F104" s="23"/>
      <c r="G104" s="23"/>
      <c r="H104" s="229"/>
      <c r="I104" s="23"/>
      <c r="K104" s="23">
        <v>20215</v>
      </c>
      <c r="L104" s="23"/>
      <c r="O104" s="229"/>
      <c r="P104" s="229"/>
    </row>
    <row r="105" spans="1:16" ht="16.5">
      <c r="A105" s="118" t="s">
        <v>964</v>
      </c>
      <c r="B105" s="227" t="s">
        <v>1785</v>
      </c>
      <c r="C105" s="23">
        <v>18771.93</v>
      </c>
      <c r="D105" s="23">
        <v>259485.86</v>
      </c>
      <c r="E105" s="23"/>
      <c r="F105" s="23"/>
      <c r="G105" s="23"/>
      <c r="H105" s="229"/>
      <c r="I105" s="23"/>
      <c r="K105" s="23">
        <v>70729</v>
      </c>
      <c r="L105" s="23"/>
      <c r="O105" s="229"/>
      <c r="P105" s="229"/>
    </row>
    <row r="106" spans="1:16" ht="16.5">
      <c r="A106" s="118" t="s">
        <v>1051</v>
      </c>
      <c r="B106" s="227" t="s">
        <v>1512</v>
      </c>
      <c r="C106" s="23">
        <v>12532.96</v>
      </c>
      <c r="D106" s="23">
        <v>106523.07</v>
      </c>
      <c r="E106" s="23"/>
      <c r="F106" s="23"/>
      <c r="G106" s="23"/>
      <c r="H106" s="229"/>
      <c r="I106" s="23"/>
      <c r="K106" s="23">
        <v>68680</v>
      </c>
      <c r="L106" s="23"/>
      <c r="O106" s="229"/>
      <c r="P106" s="229"/>
    </row>
    <row r="107" spans="1:16" ht="16.5">
      <c r="A107" s="118" t="s">
        <v>340</v>
      </c>
      <c r="B107" s="227" t="s">
        <v>673</v>
      </c>
      <c r="C107" s="23">
        <v>37667.199999999997</v>
      </c>
      <c r="D107" s="23">
        <v>246518.58</v>
      </c>
      <c r="E107" s="23"/>
      <c r="F107" s="23"/>
      <c r="G107" s="23"/>
      <c r="H107" s="229">
        <v>14758</v>
      </c>
      <c r="I107" s="23"/>
      <c r="K107" s="23">
        <v>58839</v>
      </c>
      <c r="L107" s="23"/>
      <c r="O107" s="229"/>
      <c r="P107" s="229"/>
    </row>
    <row r="108" spans="1:16" ht="16.5">
      <c r="A108" s="118" t="s">
        <v>342</v>
      </c>
      <c r="B108" s="227" t="s">
        <v>674</v>
      </c>
      <c r="C108" s="23">
        <v>7492.82</v>
      </c>
      <c r="D108" s="23">
        <v>32619.83</v>
      </c>
      <c r="E108" s="23"/>
      <c r="F108" s="23"/>
      <c r="G108" s="23"/>
      <c r="H108" s="229"/>
      <c r="I108" s="23"/>
      <c r="J108" s="23">
        <v>1349</v>
      </c>
      <c r="K108" s="23">
        <v>8808</v>
      </c>
      <c r="L108" s="23"/>
      <c r="O108" s="229"/>
      <c r="P108" s="229"/>
    </row>
    <row r="109" spans="1:16" ht="16.5">
      <c r="A109" s="118" t="s">
        <v>344</v>
      </c>
      <c r="B109" s="227" t="s">
        <v>675</v>
      </c>
      <c r="C109" s="23">
        <v>3735715.63</v>
      </c>
      <c r="D109" s="23">
        <v>20935673.219999999</v>
      </c>
      <c r="E109" s="23"/>
      <c r="F109" s="23"/>
      <c r="G109" s="23"/>
      <c r="H109" s="229"/>
      <c r="I109" s="23"/>
      <c r="J109" s="23">
        <v>446476.19</v>
      </c>
      <c r="K109" s="23">
        <v>3918235.34</v>
      </c>
      <c r="L109" s="23"/>
      <c r="M109" s="229">
        <v>71.73</v>
      </c>
      <c r="O109" s="229">
        <v>98432.92</v>
      </c>
      <c r="P109" s="229"/>
    </row>
    <row r="110" spans="1:16" ht="16.5">
      <c r="A110" s="118" t="s">
        <v>346</v>
      </c>
      <c r="B110" s="227" t="s">
        <v>905</v>
      </c>
      <c r="C110" s="23">
        <v>10079.58</v>
      </c>
      <c r="D110" s="23">
        <v>62243.839999999997</v>
      </c>
      <c r="E110" s="23"/>
      <c r="F110" s="23"/>
      <c r="G110" s="23"/>
      <c r="H110" s="229"/>
      <c r="I110" s="23"/>
      <c r="K110" s="23"/>
      <c r="L110" s="23"/>
      <c r="O110" s="229"/>
      <c r="P110" s="229"/>
    </row>
    <row r="111" spans="1:16" ht="16.5">
      <c r="A111" s="118" t="s">
        <v>452</v>
      </c>
      <c r="B111" s="227" t="s">
        <v>906</v>
      </c>
      <c r="C111" s="23">
        <v>306446.53999999998</v>
      </c>
      <c r="D111" s="23">
        <v>1595842.48</v>
      </c>
      <c r="E111" s="23"/>
      <c r="F111" s="23"/>
      <c r="G111" s="23"/>
      <c r="H111" s="229"/>
      <c r="I111" s="23"/>
      <c r="K111" s="23"/>
      <c r="L111" s="23"/>
      <c r="O111" s="229"/>
      <c r="P111" s="229"/>
    </row>
    <row r="112" spans="1:16" ht="16.5">
      <c r="A112" s="118" t="s">
        <v>454</v>
      </c>
      <c r="B112" s="227" t="s">
        <v>676</v>
      </c>
      <c r="C112" s="23">
        <v>1695.1</v>
      </c>
      <c r="D112" s="23">
        <v>27483.19</v>
      </c>
      <c r="E112" s="23"/>
      <c r="F112" s="23"/>
      <c r="G112" s="23"/>
      <c r="H112" s="229">
        <v>6005.66</v>
      </c>
      <c r="I112" s="23"/>
      <c r="K112" s="23">
        <v>13265.88</v>
      </c>
      <c r="L112" s="23"/>
      <c r="O112" s="229"/>
      <c r="P112" s="229"/>
    </row>
    <row r="113" spans="1:16" ht="16.5">
      <c r="A113" s="118" t="s">
        <v>456</v>
      </c>
      <c r="B113" s="227" t="s">
        <v>677</v>
      </c>
      <c r="C113" s="23">
        <v>1667406.34</v>
      </c>
      <c r="D113" s="23">
        <v>6620073.3300000001</v>
      </c>
      <c r="E113" s="23"/>
      <c r="F113" s="23">
        <v>28306.92</v>
      </c>
      <c r="G113" s="23"/>
      <c r="H113" s="229"/>
      <c r="I113" s="23"/>
      <c r="J113" s="23">
        <v>220177.98</v>
      </c>
      <c r="K113" s="23">
        <v>1146781.23</v>
      </c>
      <c r="L113" s="23"/>
      <c r="M113" s="229">
        <v>100173.79</v>
      </c>
      <c r="O113" s="229"/>
      <c r="P113" s="229"/>
    </row>
    <row r="114" spans="1:16" ht="16.5">
      <c r="A114" s="118" t="s">
        <v>458</v>
      </c>
      <c r="B114" s="227" t="s">
        <v>678</v>
      </c>
      <c r="C114" s="23">
        <v>5428076.5899999999</v>
      </c>
      <c r="D114" s="23">
        <v>21545176.300000001</v>
      </c>
      <c r="E114" s="23"/>
      <c r="F114" s="23">
        <v>81035.5</v>
      </c>
      <c r="G114" s="23"/>
      <c r="H114" s="229"/>
      <c r="I114" s="23"/>
      <c r="J114" s="23">
        <v>504053.45</v>
      </c>
      <c r="K114" s="23">
        <v>4011690.49</v>
      </c>
      <c r="L114" s="23"/>
      <c r="M114" s="229">
        <v>202588.84</v>
      </c>
      <c r="O114" s="229"/>
      <c r="P114" s="229"/>
    </row>
    <row r="115" spans="1:16" ht="16.5">
      <c r="A115" s="118" t="s">
        <v>460</v>
      </c>
      <c r="B115" s="227" t="s">
        <v>679</v>
      </c>
      <c r="C115" s="23">
        <v>7146566.6500000004</v>
      </c>
      <c r="D115" s="23">
        <v>33674434.049999997</v>
      </c>
      <c r="E115" s="23"/>
      <c r="F115" s="23"/>
      <c r="G115" s="23"/>
      <c r="H115" s="229"/>
      <c r="I115" s="23"/>
      <c r="J115" s="23">
        <v>9311.76</v>
      </c>
      <c r="K115" s="23">
        <v>5878586.7400000002</v>
      </c>
      <c r="L115" s="23"/>
      <c r="M115" s="229">
        <v>18853.75</v>
      </c>
      <c r="O115" s="229"/>
      <c r="P115" s="229"/>
    </row>
    <row r="116" spans="1:16" ht="16.5">
      <c r="A116" s="118" t="s">
        <v>479</v>
      </c>
      <c r="B116" s="227" t="s">
        <v>680</v>
      </c>
      <c r="C116" s="23">
        <v>212554.66</v>
      </c>
      <c r="D116" s="23">
        <v>1329784.27</v>
      </c>
      <c r="E116" s="23"/>
      <c r="F116" s="23"/>
      <c r="G116" s="23"/>
      <c r="H116" s="229"/>
      <c r="I116" s="23"/>
      <c r="J116" s="23">
        <v>18520.099999999999</v>
      </c>
      <c r="K116" s="23">
        <v>202883.43</v>
      </c>
      <c r="L116" s="23"/>
      <c r="O116" s="229"/>
      <c r="P116" s="229"/>
    </row>
    <row r="117" spans="1:16" ht="16.5">
      <c r="A117" s="118" t="s">
        <v>481</v>
      </c>
      <c r="B117" s="227" t="s">
        <v>849</v>
      </c>
      <c r="C117" s="23">
        <v>372318.32</v>
      </c>
      <c r="D117" s="23">
        <v>1666751.71</v>
      </c>
      <c r="E117" s="23"/>
      <c r="F117" s="23">
        <v>1686.92</v>
      </c>
      <c r="G117" s="23"/>
      <c r="H117" s="229"/>
      <c r="I117" s="23"/>
      <c r="K117" s="23">
        <v>416968.81</v>
      </c>
      <c r="L117" s="23"/>
      <c r="M117" s="229">
        <v>5411.24</v>
      </c>
      <c r="O117" s="229"/>
      <c r="P117" s="229"/>
    </row>
    <row r="118" spans="1:16" ht="16.5">
      <c r="A118" s="118" t="s">
        <v>482</v>
      </c>
      <c r="B118" s="227" t="s">
        <v>681</v>
      </c>
      <c r="C118" s="23">
        <v>114744.6</v>
      </c>
      <c r="D118" s="23">
        <v>884025.64</v>
      </c>
      <c r="E118" s="23"/>
      <c r="F118" s="23"/>
      <c r="G118" s="23"/>
      <c r="H118" s="229"/>
      <c r="I118" s="23"/>
      <c r="K118" s="23">
        <v>55838.77</v>
      </c>
      <c r="L118" s="23"/>
      <c r="O118" s="229"/>
      <c r="P118" s="229"/>
    </row>
    <row r="119" spans="1:16" ht="16.5">
      <c r="A119" s="118" t="s">
        <v>293</v>
      </c>
      <c r="B119" s="227" t="s">
        <v>907</v>
      </c>
      <c r="C119" s="23">
        <v>13985.89</v>
      </c>
      <c r="D119" s="23">
        <v>110241.53</v>
      </c>
      <c r="E119" s="23"/>
      <c r="F119" s="23"/>
      <c r="G119" s="23"/>
      <c r="H119" s="229"/>
      <c r="I119" s="23"/>
      <c r="K119" s="23"/>
      <c r="L119" s="23"/>
      <c r="O119" s="229"/>
      <c r="P119" s="229"/>
    </row>
    <row r="120" spans="1:16" ht="16.5">
      <c r="A120" s="118" t="s">
        <v>295</v>
      </c>
      <c r="B120" s="227" t="s">
        <v>683</v>
      </c>
      <c r="C120" s="23">
        <v>153239.45000000001</v>
      </c>
      <c r="D120" s="23">
        <v>816420.81</v>
      </c>
      <c r="E120" s="23"/>
      <c r="F120" s="23"/>
      <c r="G120" s="23"/>
      <c r="H120" s="229">
        <v>69853</v>
      </c>
      <c r="I120" s="23"/>
      <c r="J120" s="23">
        <v>33345</v>
      </c>
      <c r="K120" s="23">
        <v>174316.99</v>
      </c>
      <c r="L120" s="23"/>
      <c r="M120" s="229">
        <v>7560.8</v>
      </c>
      <c r="O120" s="229">
        <v>39520.9</v>
      </c>
      <c r="P120" s="229"/>
    </row>
    <row r="121" spans="1:16" ht="16.5">
      <c r="A121" s="118" t="s">
        <v>121</v>
      </c>
      <c r="B121" s="227" t="s">
        <v>1782</v>
      </c>
      <c r="C121" s="23">
        <v>425579.64</v>
      </c>
      <c r="D121" s="23">
        <v>2408162.4</v>
      </c>
      <c r="E121" s="23"/>
      <c r="F121" s="23"/>
      <c r="G121" s="23"/>
      <c r="H121" s="229"/>
      <c r="I121" s="23"/>
      <c r="J121" s="23">
        <v>72722.460000000006</v>
      </c>
      <c r="K121" s="23">
        <v>295743</v>
      </c>
      <c r="L121" s="23"/>
      <c r="O121" s="229"/>
      <c r="P121" s="229"/>
    </row>
    <row r="122" spans="1:16" ht="16.5">
      <c r="A122" s="118" t="s">
        <v>123</v>
      </c>
      <c r="B122" s="227" t="s">
        <v>1805</v>
      </c>
      <c r="C122" s="23">
        <v>13110.41</v>
      </c>
      <c r="D122" s="23">
        <v>117805.06</v>
      </c>
      <c r="E122" s="23"/>
      <c r="F122" s="23"/>
      <c r="G122" s="23"/>
      <c r="H122" s="229"/>
      <c r="I122" s="23"/>
      <c r="K122" s="23">
        <v>15614.54</v>
      </c>
      <c r="L122" s="23"/>
      <c r="O122" s="229"/>
      <c r="P122" s="229"/>
    </row>
    <row r="123" spans="1:16" ht="16.5">
      <c r="A123" s="118" t="s">
        <v>124</v>
      </c>
      <c r="B123" s="227" t="s">
        <v>685</v>
      </c>
      <c r="C123" s="23">
        <v>151639.92000000001</v>
      </c>
      <c r="D123" s="23">
        <v>1201478.3700000001</v>
      </c>
      <c r="E123" s="23"/>
      <c r="F123" s="23"/>
      <c r="G123" s="23"/>
      <c r="H123" s="229"/>
      <c r="I123" s="23"/>
      <c r="K123" s="23">
        <v>328557.82</v>
      </c>
      <c r="L123" s="23"/>
      <c r="O123" s="229"/>
      <c r="P123" s="229"/>
    </row>
    <row r="124" spans="1:16" ht="16.5">
      <c r="A124" s="118" t="s">
        <v>126</v>
      </c>
      <c r="B124" s="227" t="s">
        <v>686</v>
      </c>
      <c r="C124" s="23">
        <v>3104033.31</v>
      </c>
      <c r="D124" s="23">
        <v>15146774.73</v>
      </c>
      <c r="E124" s="23"/>
      <c r="F124" s="23">
        <v>14874.73</v>
      </c>
      <c r="G124" s="23"/>
      <c r="H124" s="229"/>
      <c r="I124" s="23"/>
      <c r="J124" s="23">
        <v>424518.68</v>
      </c>
      <c r="K124" s="23">
        <v>1724238.39</v>
      </c>
      <c r="L124" s="23"/>
      <c r="M124" s="229">
        <v>53390.86</v>
      </c>
      <c r="O124" s="229"/>
      <c r="P124" s="229"/>
    </row>
    <row r="125" spans="1:16" ht="16.5">
      <c r="A125" s="118" t="s">
        <v>128</v>
      </c>
      <c r="B125" s="227" t="s">
        <v>687</v>
      </c>
      <c r="C125" s="23">
        <v>6131283.8600000003</v>
      </c>
      <c r="D125" s="23">
        <v>37381188.439999998</v>
      </c>
      <c r="E125" s="23"/>
      <c r="F125" s="23"/>
      <c r="G125" s="23"/>
      <c r="H125" s="229"/>
      <c r="I125" s="23"/>
      <c r="J125" s="23">
        <v>1430793.15</v>
      </c>
      <c r="K125" s="23">
        <v>6273614.2000000002</v>
      </c>
      <c r="L125" s="23"/>
      <c r="M125" s="229">
        <v>49001.17</v>
      </c>
      <c r="O125" s="229">
        <v>117331.25</v>
      </c>
      <c r="P125" s="229"/>
    </row>
    <row r="126" spans="1:16" ht="16.5">
      <c r="A126" s="118" t="s">
        <v>130</v>
      </c>
      <c r="B126" s="227" t="s">
        <v>688</v>
      </c>
      <c r="C126" s="23">
        <v>1038922.45</v>
      </c>
      <c r="D126" s="23">
        <v>3935713.88</v>
      </c>
      <c r="E126" s="23"/>
      <c r="F126" s="23"/>
      <c r="G126" s="23"/>
      <c r="H126" s="229"/>
      <c r="I126" s="23"/>
      <c r="J126" s="23">
        <v>37860.839999999997</v>
      </c>
      <c r="K126" s="23">
        <v>523044.31</v>
      </c>
      <c r="L126" s="23"/>
      <c r="M126" s="229">
        <v>5817.33</v>
      </c>
      <c r="O126" s="229"/>
      <c r="P126" s="229"/>
    </row>
    <row r="127" spans="1:16" ht="16.5">
      <c r="A127" s="118" t="s">
        <v>132</v>
      </c>
      <c r="B127" s="227" t="s">
        <v>689</v>
      </c>
      <c r="C127" s="23">
        <v>10143.549999999999</v>
      </c>
      <c r="D127" s="23">
        <v>37124.06</v>
      </c>
      <c r="E127" s="23"/>
      <c r="F127" s="23"/>
      <c r="G127" s="23"/>
      <c r="H127" s="229"/>
      <c r="I127" s="23"/>
      <c r="J127" s="23">
        <v>1926</v>
      </c>
      <c r="K127" s="23">
        <v>6656</v>
      </c>
      <c r="L127" s="23"/>
      <c r="O127" s="229"/>
      <c r="P127" s="229"/>
    </row>
    <row r="128" spans="1:16" ht="16.5">
      <c r="A128" s="118" t="s">
        <v>462</v>
      </c>
      <c r="B128" s="227" t="s">
        <v>690</v>
      </c>
      <c r="C128" s="23">
        <v>99077.7</v>
      </c>
      <c r="D128" s="23">
        <v>582028.61</v>
      </c>
      <c r="E128" s="23"/>
      <c r="F128" s="23"/>
      <c r="G128" s="23"/>
      <c r="H128" s="229"/>
      <c r="I128" s="23"/>
      <c r="K128" s="23">
        <v>137928.31</v>
      </c>
      <c r="L128" s="23"/>
      <c r="O128" s="229"/>
      <c r="P128" s="229"/>
    </row>
    <row r="129" spans="1:16" ht="16.5">
      <c r="A129" s="118" t="s">
        <v>464</v>
      </c>
      <c r="B129" s="227" t="s">
        <v>691</v>
      </c>
      <c r="C129" s="23">
        <v>31430.37</v>
      </c>
      <c r="D129" s="23">
        <v>223290.42</v>
      </c>
      <c r="E129" s="23"/>
      <c r="F129" s="23"/>
      <c r="G129" s="23"/>
      <c r="H129" s="229"/>
      <c r="I129" s="23"/>
      <c r="K129" s="23">
        <v>49327</v>
      </c>
      <c r="L129" s="23"/>
      <c r="O129" s="229"/>
      <c r="P129" s="229"/>
    </row>
    <row r="130" spans="1:16" ht="16.5">
      <c r="A130" s="118" t="s">
        <v>466</v>
      </c>
      <c r="B130" s="227" t="s">
        <v>692</v>
      </c>
      <c r="C130" s="23">
        <v>2318255.4700000002</v>
      </c>
      <c r="D130" s="23">
        <v>9016323.9199999999</v>
      </c>
      <c r="E130" s="23"/>
      <c r="F130" s="23">
        <v>31326.05</v>
      </c>
      <c r="G130" s="23"/>
      <c r="H130" s="229"/>
      <c r="I130" s="23"/>
      <c r="J130" s="23">
        <v>56197.74</v>
      </c>
      <c r="K130" s="23">
        <v>1604958.71</v>
      </c>
      <c r="L130" s="23"/>
      <c r="M130" s="229">
        <v>115902.48</v>
      </c>
      <c r="O130" s="229"/>
      <c r="P130" s="229"/>
    </row>
    <row r="131" spans="1:16" ht="16.5">
      <c r="A131" s="118" t="s">
        <v>468</v>
      </c>
      <c r="B131" s="227" t="s">
        <v>693</v>
      </c>
      <c r="C131" s="23">
        <v>23619.74</v>
      </c>
      <c r="D131" s="23">
        <v>157609.49</v>
      </c>
      <c r="E131" s="23"/>
      <c r="F131" s="23"/>
      <c r="G131" s="23"/>
      <c r="H131" s="229"/>
      <c r="I131" s="23"/>
      <c r="K131" s="23">
        <v>69779.06</v>
      </c>
      <c r="L131" s="23"/>
      <c r="O131" s="229"/>
      <c r="P131" s="229"/>
    </row>
    <row r="132" spans="1:16" ht="16.5">
      <c r="A132" s="118" t="s">
        <v>470</v>
      </c>
      <c r="B132" s="227" t="s">
        <v>850</v>
      </c>
      <c r="C132" s="23">
        <v>42080.75</v>
      </c>
      <c r="D132" s="23">
        <v>359100.82</v>
      </c>
      <c r="E132" s="23"/>
      <c r="F132" s="23"/>
      <c r="G132" s="23"/>
      <c r="H132" s="229"/>
      <c r="I132" s="23"/>
      <c r="J132" s="23">
        <v>12112</v>
      </c>
      <c r="K132" s="23">
        <v>86023</v>
      </c>
      <c r="L132" s="23"/>
      <c r="M132" s="229">
        <v>9860.86</v>
      </c>
      <c r="O132" s="229"/>
      <c r="P132" s="229"/>
    </row>
    <row r="133" spans="1:16" ht="16.5">
      <c r="A133" s="118" t="s">
        <v>1052</v>
      </c>
      <c r="B133" s="227" t="s">
        <v>1514</v>
      </c>
      <c r="C133" s="23">
        <v>7949.52</v>
      </c>
      <c r="D133" s="23">
        <v>42646.86</v>
      </c>
      <c r="E133" s="23"/>
      <c r="F133" s="23"/>
      <c r="G133" s="23"/>
      <c r="H133" s="229"/>
      <c r="I133" s="23"/>
      <c r="J133" s="23">
        <v>1573</v>
      </c>
      <c r="K133" s="23">
        <v>7584</v>
      </c>
      <c r="L133" s="23"/>
      <c r="O133" s="229"/>
      <c r="P133" s="229"/>
    </row>
    <row r="134" spans="1:16" ht="16.5">
      <c r="A134" s="118" t="s">
        <v>931</v>
      </c>
      <c r="B134" s="227" t="s">
        <v>1804</v>
      </c>
      <c r="C134" s="23">
        <v>193949.8</v>
      </c>
      <c r="D134" s="23">
        <v>670066.43000000005</v>
      </c>
      <c r="E134" s="23"/>
      <c r="F134" s="23"/>
      <c r="G134" s="23"/>
      <c r="H134" s="229"/>
      <c r="I134" s="23"/>
      <c r="K134" s="23"/>
      <c r="L134" s="23"/>
      <c r="O134" s="229"/>
      <c r="P134" s="229"/>
    </row>
    <row r="135" spans="1:16" ht="16.5">
      <c r="A135" s="118" t="s">
        <v>486</v>
      </c>
      <c r="B135" s="227" t="s">
        <v>909</v>
      </c>
      <c r="C135" s="23">
        <v>61415.040000000001</v>
      </c>
      <c r="D135" s="23">
        <v>333205.40999999997</v>
      </c>
      <c r="E135" s="23"/>
      <c r="F135" s="23"/>
      <c r="G135" s="23"/>
      <c r="H135" s="229"/>
      <c r="I135" s="23"/>
      <c r="K135" s="23"/>
      <c r="L135" s="23"/>
      <c r="O135" s="229"/>
      <c r="P135" s="229"/>
    </row>
    <row r="136" spans="1:16" ht="16.5">
      <c r="A136" s="118" t="s">
        <v>488</v>
      </c>
      <c r="B136" s="227" t="s">
        <v>694</v>
      </c>
      <c r="C136" s="23">
        <v>812710.59</v>
      </c>
      <c r="D136" s="23">
        <v>4667703.74</v>
      </c>
      <c r="E136" s="23"/>
      <c r="F136" s="23">
        <v>28853.14</v>
      </c>
      <c r="G136" s="23"/>
      <c r="H136" s="229"/>
      <c r="I136" s="23"/>
      <c r="K136" s="23">
        <v>755321</v>
      </c>
      <c r="L136" s="23"/>
      <c r="M136" s="229">
        <v>103419.12</v>
      </c>
      <c r="O136" s="229"/>
      <c r="P136" s="229"/>
    </row>
    <row r="137" spans="1:16" ht="16.5">
      <c r="A137" s="118" t="s">
        <v>490</v>
      </c>
      <c r="B137" s="227" t="s">
        <v>695</v>
      </c>
      <c r="C137" s="23">
        <v>151318.42000000001</v>
      </c>
      <c r="D137" s="23">
        <v>756302.17</v>
      </c>
      <c r="E137" s="23"/>
      <c r="F137" s="23"/>
      <c r="G137" s="23"/>
      <c r="H137" s="229"/>
      <c r="I137" s="23"/>
      <c r="K137" s="23">
        <v>177856.02</v>
      </c>
      <c r="L137" s="23"/>
      <c r="O137" s="229"/>
      <c r="P137" s="229"/>
    </row>
    <row r="138" spans="1:16" ht="16.5">
      <c r="A138" s="118" t="s">
        <v>492</v>
      </c>
      <c r="B138" s="227" t="s">
        <v>696</v>
      </c>
      <c r="C138" s="23">
        <v>10825.61</v>
      </c>
      <c r="D138" s="23">
        <v>82785.759999999995</v>
      </c>
      <c r="E138" s="23"/>
      <c r="F138" s="23"/>
      <c r="G138" s="23"/>
      <c r="H138" s="229"/>
      <c r="I138" s="23"/>
      <c r="K138" s="23">
        <v>25618</v>
      </c>
      <c r="L138" s="23"/>
      <c r="O138" s="229"/>
      <c r="P138" s="229"/>
    </row>
    <row r="139" spans="1:16" ht="16.5">
      <c r="A139" s="118" t="s">
        <v>494</v>
      </c>
      <c r="B139" s="227" t="s">
        <v>697</v>
      </c>
      <c r="C139" s="23">
        <v>83410.27</v>
      </c>
      <c r="D139" s="23">
        <v>689312.65</v>
      </c>
      <c r="E139" s="23"/>
      <c r="F139" s="23"/>
      <c r="G139" s="23"/>
      <c r="H139" s="229"/>
      <c r="I139" s="23"/>
      <c r="J139" s="23">
        <v>30311.18</v>
      </c>
      <c r="K139" s="23">
        <v>83826.67</v>
      </c>
      <c r="L139" s="23"/>
      <c r="O139" s="229"/>
      <c r="P139" s="229"/>
    </row>
    <row r="140" spans="1:16" ht="16.5">
      <c r="A140" s="118" t="s">
        <v>496</v>
      </c>
      <c r="B140" s="227" t="s">
        <v>851</v>
      </c>
      <c r="C140" s="23">
        <v>234361.2</v>
      </c>
      <c r="D140" s="23">
        <v>1583992.1</v>
      </c>
      <c r="E140" s="23"/>
      <c r="F140" s="23"/>
      <c r="G140" s="23"/>
      <c r="H140" s="229"/>
      <c r="I140" s="23"/>
      <c r="K140" s="23">
        <v>275304.44</v>
      </c>
      <c r="L140" s="23"/>
      <c r="O140" s="229"/>
      <c r="P140" s="229"/>
    </row>
    <row r="141" spans="1:16" ht="16.5">
      <c r="A141" s="118" t="s">
        <v>497</v>
      </c>
      <c r="B141" s="227" t="s">
        <v>698</v>
      </c>
      <c r="C141" s="23">
        <v>94754.59</v>
      </c>
      <c r="D141" s="23">
        <v>535749.9</v>
      </c>
      <c r="E141" s="23"/>
      <c r="F141" s="23"/>
      <c r="G141" s="23"/>
      <c r="H141" s="229"/>
      <c r="I141" s="23"/>
      <c r="K141" s="23">
        <v>142684.04</v>
      </c>
      <c r="L141" s="23"/>
      <c r="O141" s="229"/>
      <c r="P141" s="229"/>
    </row>
    <row r="142" spans="1:16" ht="16.5">
      <c r="A142" s="118" t="s">
        <v>499</v>
      </c>
      <c r="B142" s="227" t="s">
        <v>699</v>
      </c>
      <c r="C142" s="23">
        <v>3944611.58</v>
      </c>
      <c r="D142" s="23">
        <v>16570405.310000001</v>
      </c>
      <c r="E142" s="23"/>
      <c r="F142" s="23">
        <v>36485.93</v>
      </c>
      <c r="G142" s="23"/>
      <c r="H142" s="229">
        <v>170206</v>
      </c>
      <c r="I142" s="23"/>
      <c r="J142" s="23">
        <v>4832.18</v>
      </c>
      <c r="K142" s="23">
        <v>2834245.4</v>
      </c>
      <c r="L142" s="23"/>
      <c r="M142" s="229">
        <v>129882.4</v>
      </c>
      <c r="O142" s="229"/>
      <c r="P142" s="229"/>
    </row>
    <row r="143" spans="1:16" ht="16.5">
      <c r="A143" s="118" t="s">
        <v>38</v>
      </c>
      <c r="B143" s="227" t="s">
        <v>852</v>
      </c>
      <c r="C143" s="23">
        <v>81394.78</v>
      </c>
      <c r="D143" s="23">
        <v>394443.21</v>
      </c>
      <c r="E143" s="23"/>
      <c r="F143" s="23"/>
      <c r="G143" s="23"/>
      <c r="H143" s="229"/>
      <c r="I143" s="23"/>
      <c r="K143" s="23">
        <v>60127.06</v>
      </c>
      <c r="L143" s="23"/>
      <c r="O143" s="229"/>
      <c r="P143" s="229"/>
    </row>
    <row r="144" spans="1:16" ht="16.5">
      <c r="A144" s="118" t="s">
        <v>39</v>
      </c>
      <c r="B144" s="227" t="s">
        <v>700</v>
      </c>
      <c r="C144" s="23">
        <v>3557515.72</v>
      </c>
      <c r="D144" s="23">
        <v>13097763.369999999</v>
      </c>
      <c r="E144" s="23"/>
      <c r="F144" s="23"/>
      <c r="G144" s="23"/>
      <c r="H144" s="229"/>
      <c r="I144" s="23"/>
      <c r="J144" s="23">
        <v>366205.33</v>
      </c>
      <c r="K144" s="23">
        <v>1844392.63</v>
      </c>
      <c r="L144" s="23"/>
      <c r="O144" s="229"/>
      <c r="P144" s="229"/>
    </row>
    <row r="145" spans="1:16" ht="16.5">
      <c r="A145" s="118" t="s">
        <v>41</v>
      </c>
      <c r="B145" s="227" t="s">
        <v>701</v>
      </c>
      <c r="C145" s="23">
        <v>376034.93</v>
      </c>
      <c r="D145" s="23">
        <v>2294534.4300000002</v>
      </c>
      <c r="E145" s="23">
        <v>203788.24</v>
      </c>
      <c r="F145" s="23"/>
      <c r="G145" s="23"/>
      <c r="H145" s="229">
        <v>83627</v>
      </c>
      <c r="I145" s="23"/>
      <c r="K145" s="23">
        <v>398131</v>
      </c>
      <c r="L145" s="23"/>
      <c r="M145" s="229">
        <v>15638.7</v>
      </c>
      <c r="O145" s="229"/>
      <c r="P145" s="229"/>
    </row>
    <row r="146" spans="1:16" ht="16.5">
      <c r="A146" s="118" t="s">
        <v>43</v>
      </c>
      <c r="B146" s="227" t="s">
        <v>702</v>
      </c>
      <c r="C146" s="23">
        <v>757539.9</v>
      </c>
      <c r="D146" s="23">
        <v>5350148.32</v>
      </c>
      <c r="E146" s="23"/>
      <c r="F146" s="23"/>
      <c r="G146" s="23"/>
      <c r="H146" s="229"/>
      <c r="I146" s="23"/>
      <c r="J146" s="23">
        <v>131906.79999999999</v>
      </c>
      <c r="K146" s="23">
        <v>915715.14</v>
      </c>
      <c r="L146" s="23"/>
      <c r="O146" s="229"/>
      <c r="P146" s="229"/>
    </row>
    <row r="147" spans="1:16" ht="16.5">
      <c r="A147" s="118" t="s">
        <v>45</v>
      </c>
      <c r="B147" s="227" t="s">
        <v>703</v>
      </c>
      <c r="C147" s="23">
        <v>389637.46</v>
      </c>
      <c r="D147" s="23">
        <v>2055292.49</v>
      </c>
      <c r="E147" s="23"/>
      <c r="F147" s="23"/>
      <c r="G147" s="23"/>
      <c r="H147" s="229"/>
      <c r="I147" s="23"/>
      <c r="J147" s="23">
        <v>38585.300000000003</v>
      </c>
      <c r="K147" s="23">
        <v>287873.26</v>
      </c>
      <c r="L147" s="23"/>
      <c r="O147" s="229"/>
      <c r="P147" s="229"/>
    </row>
    <row r="148" spans="1:16" ht="16.5">
      <c r="A148" s="118" t="s">
        <v>47</v>
      </c>
      <c r="B148" s="227" t="s">
        <v>910</v>
      </c>
      <c r="C148" s="23">
        <v>123224.53</v>
      </c>
      <c r="D148" s="23">
        <v>666866.19999999995</v>
      </c>
      <c r="E148" s="23"/>
      <c r="F148" s="23"/>
      <c r="G148" s="23"/>
      <c r="H148" s="229"/>
      <c r="I148" s="23"/>
      <c r="K148" s="23"/>
      <c r="L148" s="23"/>
      <c r="O148" s="229"/>
      <c r="P148" s="229"/>
    </row>
    <row r="149" spans="1:16" ht="16.5">
      <c r="A149" s="118" t="s">
        <v>69</v>
      </c>
      <c r="B149" s="227" t="s">
        <v>911</v>
      </c>
      <c r="C149" s="23">
        <v>8073.61</v>
      </c>
      <c r="D149" s="23">
        <v>41445.56</v>
      </c>
      <c r="E149" s="23"/>
      <c r="F149" s="23"/>
      <c r="G149" s="23"/>
      <c r="H149" s="229"/>
      <c r="I149" s="23"/>
      <c r="K149" s="23"/>
      <c r="L149" s="23"/>
      <c r="O149" s="229"/>
      <c r="P149" s="229"/>
    </row>
    <row r="150" spans="1:16" ht="16.5">
      <c r="A150" s="118" t="s">
        <v>71</v>
      </c>
      <c r="B150" s="227" t="s">
        <v>704</v>
      </c>
      <c r="D150" s="23">
        <v>8155924.54</v>
      </c>
      <c r="E150" s="23"/>
      <c r="F150" s="23">
        <v>9518.8700000000008</v>
      </c>
      <c r="G150" s="23"/>
      <c r="H150" s="229"/>
      <c r="I150" s="23"/>
      <c r="J150" s="23">
        <v>165477.24</v>
      </c>
      <c r="K150" s="23">
        <v>1235254</v>
      </c>
      <c r="L150" s="23"/>
      <c r="M150" s="229">
        <v>10077.98</v>
      </c>
      <c r="O150" s="229"/>
      <c r="P150" s="229"/>
    </row>
    <row r="151" spans="1:16" ht="16.5">
      <c r="A151" s="118" t="s">
        <v>73</v>
      </c>
      <c r="B151" s="227" t="s">
        <v>705</v>
      </c>
      <c r="C151" s="23">
        <v>408264.65</v>
      </c>
      <c r="D151" s="23">
        <v>1875685.06</v>
      </c>
      <c r="E151" s="23"/>
      <c r="F151" s="23"/>
      <c r="G151" s="23"/>
      <c r="H151" s="229"/>
      <c r="I151" s="23"/>
      <c r="J151" s="23">
        <v>21115.56</v>
      </c>
      <c r="K151" s="23">
        <v>287892</v>
      </c>
      <c r="L151" s="23"/>
      <c r="M151" s="229">
        <v>41081.440000000002</v>
      </c>
      <c r="O151" s="229">
        <v>163183.72</v>
      </c>
      <c r="P151" s="229"/>
    </row>
    <row r="152" spans="1:16" ht="16.5">
      <c r="A152" s="118" t="s">
        <v>75</v>
      </c>
      <c r="B152" s="227" t="s">
        <v>706</v>
      </c>
      <c r="C152" s="23">
        <v>81920.070000000007</v>
      </c>
      <c r="D152" s="23">
        <v>461060.93</v>
      </c>
      <c r="E152" s="23"/>
      <c r="F152" s="23">
        <v>813.52</v>
      </c>
      <c r="G152" s="23"/>
      <c r="H152" s="229"/>
      <c r="I152" s="23"/>
      <c r="K152" s="23">
        <v>127734.96</v>
      </c>
      <c r="L152" s="23"/>
      <c r="M152" s="229">
        <v>813.51</v>
      </c>
      <c r="O152" s="229">
        <v>170884.79</v>
      </c>
      <c r="P152" s="229"/>
    </row>
    <row r="153" spans="1:16" ht="16.5">
      <c r="A153" s="118" t="s">
        <v>205</v>
      </c>
      <c r="B153" s="227" t="s">
        <v>707</v>
      </c>
      <c r="C153" s="23">
        <v>2241177.4900000002</v>
      </c>
      <c r="D153" s="23">
        <v>11012131.630000001</v>
      </c>
      <c r="E153" s="23"/>
      <c r="F153" s="23">
        <v>130055.08</v>
      </c>
      <c r="G153" s="23"/>
      <c r="H153" s="229"/>
      <c r="I153" s="23"/>
      <c r="J153" s="23">
        <v>450280</v>
      </c>
      <c r="K153" s="23">
        <v>1628515.32</v>
      </c>
      <c r="L153" s="23"/>
      <c r="M153" s="229">
        <v>100680.51</v>
      </c>
      <c r="O153" s="229"/>
      <c r="P153" s="229"/>
    </row>
    <row r="154" spans="1:16" ht="16.5">
      <c r="A154" s="118" t="s">
        <v>207</v>
      </c>
      <c r="B154" s="227" t="s">
        <v>708</v>
      </c>
      <c r="C154" s="23">
        <v>202566.43</v>
      </c>
      <c r="D154" s="23">
        <v>681873.11</v>
      </c>
      <c r="E154" s="23"/>
      <c r="F154" s="23">
        <v>65121.02</v>
      </c>
      <c r="G154" s="23"/>
      <c r="H154" s="229"/>
      <c r="I154" s="23"/>
      <c r="J154" s="23">
        <v>11250.8</v>
      </c>
      <c r="K154" s="23">
        <v>141760</v>
      </c>
      <c r="L154" s="23"/>
      <c r="M154" s="229">
        <v>4709.5200000000004</v>
      </c>
      <c r="O154" s="229">
        <v>67922.23</v>
      </c>
      <c r="P154" s="229"/>
    </row>
    <row r="155" spans="1:16" ht="16.5">
      <c r="A155" s="118" t="s">
        <v>209</v>
      </c>
      <c r="B155" s="227" t="s">
        <v>709</v>
      </c>
      <c r="D155" s="23">
        <v>1025082.46</v>
      </c>
      <c r="E155" s="23"/>
      <c r="F155" s="23"/>
      <c r="G155" s="23"/>
      <c r="H155" s="229">
        <v>83627</v>
      </c>
      <c r="I155" s="23"/>
      <c r="J155" s="23">
        <v>52657</v>
      </c>
      <c r="K155" s="23">
        <v>232757.1</v>
      </c>
      <c r="O155" s="229"/>
      <c r="P155" s="229"/>
    </row>
    <row r="156" spans="1:16" ht="16.5">
      <c r="A156" s="118" t="s">
        <v>211</v>
      </c>
      <c r="B156" s="227" t="s">
        <v>710</v>
      </c>
      <c r="C156" s="23">
        <v>592723.06999999995</v>
      </c>
      <c r="D156" s="23">
        <v>2447353.17</v>
      </c>
      <c r="E156" s="23"/>
      <c r="F156" s="23"/>
      <c r="G156" s="23"/>
      <c r="H156" s="229"/>
      <c r="I156" s="23"/>
      <c r="K156" s="23">
        <v>479582</v>
      </c>
      <c r="L156" s="23"/>
      <c r="M156" s="229">
        <v>101175.1</v>
      </c>
      <c r="O156" s="229"/>
      <c r="P156" s="229"/>
    </row>
    <row r="157" spans="1:16" ht="16.5">
      <c r="A157" s="118" t="s">
        <v>87</v>
      </c>
      <c r="B157" s="227" t="s">
        <v>912</v>
      </c>
      <c r="C157" s="23">
        <v>6949.11</v>
      </c>
      <c r="D157" s="23">
        <v>36500.69</v>
      </c>
      <c r="E157" s="23"/>
      <c r="F157" s="23"/>
      <c r="G157" s="23"/>
      <c r="H157" s="229"/>
      <c r="I157" s="23"/>
      <c r="K157" s="23"/>
      <c r="L157" s="23"/>
      <c r="O157" s="229"/>
      <c r="P157" s="229"/>
    </row>
    <row r="158" spans="1:16" ht="16.5">
      <c r="A158" s="118" t="s">
        <v>89</v>
      </c>
      <c r="B158" s="227" t="s">
        <v>1796</v>
      </c>
      <c r="C158" s="23">
        <v>1984345.07</v>
      </c>
      <c r="D158" s="23">
        <v>9904949.1400000006</v>
      </c>
      <c r="E158" s="23"/>
      <c r="F158" s="23"/>
      <c r="G158" s="23"/>
      <c r="H158" s="229"/>
      <c r="I158" s="23"/>
      <c r="J158" s="23">
        <v>376184</v>
      </c>
      <c r="K158" s="23">
        <v>1545217.35</v>
      </c>
      <c r="L158" s="23"/>
      <c r="M158" s="229">
        <v>176424.24</v>
      </c>
      <c r="O158" s="229"/>
      <c r="P158" s="229"/>
    </row>
    <row r="159" spans="1:16" ht="16.5">
      <c r="A159" s="118" t="s">
        <v>90</v>
      </c>
      <c r="B159" s="227" t="s">
        <v>712</v>
      </c>
      <c r="C159" s="23">
        <v>5265940.4000000004</v>
      </c>
      <c r="D159" s="23">
        <v>22837317.489999998</v>
      </c>
      <c r="E159" s="23"/>
      <c r="F159" s="23"/>
      <c r="G159" s="23"/>
      <c r="H159" s="229"/>
      <c r="I159" s="23"/>
      <c r="J159" s="23">
        <v>762839.19</v>
      </c>
      <c r="K159" s="23">
        <v>2988815.75</v>
      </c>
      <c r="L159" s="23"/>
      <c r="O159" s="229"/>
      <c r="P159" s="229"/>
    </row>
    <row r="160" spans="1:16" ht="16.5">
      <c r="A160" s="118" t="s">
        <v>92</v>
      </c>
      <c r="B160" s="227" t="s">
        <v>713</v>
      </c>
      <c r="C160" s="23">
        <v>247078.95</v>
      </c>
      <c r="D160" s="23">
        <v>1533375.99</v>
      </c>
      <c r="E160" s="23"/>
      <c r="F160" s="23"/>
      <c r="G160" s="23"/>
      <c r="H160" s="229"/>
      <c r="I160" s="23"/>
      <c r="J160" s="23">
        <v>63232</v>
      </c>
      <c r="K160" s="23">
        <v>265706</v>
      </c>
      <c r="L160" s="23"/>
      <c r="O160" s="229"/>
      <c r="P160" s="229"/>
    </row>
    <row r="161" spans="1:16" ht="16.5">
      <c r="A161" s="118" t="s">
        <v>94</v>
      </c>
      <c r="B161" s="227" t="s">
        <v>714</v>
      </c>
      <c r="C161" s="23">
        <v>87879.039999999994</v>
      </c>
      <c r="D161" s="23">
        <v>990019.17</v>
      </c>
      <c r="E161" s="23"/>
      <c r="F161" s="23">
        <v>1722.87</v>
      </c>
      <c r="G161" s="23"/>
      <c r="H161" s="229"/>
      <c r="I161" s="23"/>
      <c r="J161" s="23">
        <v>8489.7099999999991</v>
      </c>
      <c r="K161" s="23">
        <v>208134.3</v>
      </c>
      <c r="L161" s="23"/>
      <c r="M161" s="229">
        <v>4762.8900000000003</v>
      </c>
      <c r="O161" s="229"/>
      <c r="P161" s="229"/>
    </row>
    <row r="162" spans="1:16" ht="16.5">
      <c r="A162" s="118" t="s">
        <v>96</v>
      </c>
      <c r="B162" s="227" t="s">
        <v>1790</v>
      </c>
      <c r="C162" s="23">
        <v>69432.23</v>
      </c>
      <c r="D162" s="23">
        <v>327839.3</v>
      </c>
      <c r="E162" s="23"/>
      <c r="F162" s="23"/>
      <c r="G162" s="23"/>
      <c r="H162" s="229"/>
      <c r="I162" s="23"/>
      <c r="K162" s="23"/>
      <c r="L162" s="23"/>
      <c r="O162" s="229"/>
      <c r="P162" s="229"/>
    </row>
    <row r="163" spans="1:16" ht="16.5">
      <c r="A163" s="118" t="s">
        <v>97</v>
      </c>
      <c r="B163" s="227" t="s">
        <v>715</v>
      </c>
      <c r="C163" s="23">
        <v>18948.27</v>
      </c>
      <c r="D163" s="23">
        <v>176819.76</v>
      </c>
      <c r="E163" s="23"/>
      <c r="F163" s="23"/>
      <c r="G163" s="23"/>
      <c r="H163" s="229">
        <v>50176</v>
      </c>
      <c r="I163" s="23"/>
      <c r="K163" s="23">
        <v>62537.65</v>
      </c>
      <c r="L163" s="23"/>
      <c r="O163" s="229"/>
      <c r="P163" s="229"/>
    </row>
    <row r="164" spans="1:16" ht="16.5">
      <c r="A164" s="118" t="s">
        <v>99</v>
      </c>
      <c r="B164" s="227" t="s">
        <v>716</v>
      </c>
      <c r="C164" s="23">
        <v>354382.08000000002</v>
      </c>
      <c r="D164" s="23">
        <v>1252052.67</v>
      </c>
      <c r="E164" s="23"/>
      <c r="F164" s="23"/>
      <c r="G164" s="23"/>
      <c r="H164" s="229"/>
      <c r="I164" s="23"/>
      <c r="K164" s="23">
        <v>274454.45</v>
      </c>
      <c r="L164" s="23"/>
      <c r="M164" s="229">
        <v>46319.05</v>
      </c>
      <c r="O164" s="229"/>
      <c r="P164" s="229"/>
    </row>
    <row r="165" spans="1:16" ht="16.5">
      <c r="A165" s="118" t="s">
        <v>101</v>
      </c>
      <c r="B165" s="227" t="s">
        <v>717</v>
      </c>
      <c r="C165" s="23">
        <v>301704.8</v>
      </c>
      <c r="D165" s="23">
        <v>1688889.46</v>
      </c>
      <c r="E165" s="23"/>
      <c r="F165" s="23"/>
      <c r="G165" s="23"/>
      <c r="H165" s="229"/>
      <c r="I165" s="23"/>
      <c r="J165" s="23">
        <v>62581</v>
      </c>
      <c r="K165" s="23">
        <v>285748</v>
      </c>
      <c r="L165" s="23"/>
      <c r="O165" s="229"/>
      <c r="P165" s="229"/>
    </row>
    <row r="166" spans="1:16" ht="16.5">
      <c r="A166" s="118" t="s">
        <v>103</v>
      </c>
      <c r="B166" s="227" t="s">
        <v>718</v>
      </c>
      <c r="C166" s="23">
        <v>535150.02</v>
      </c>
      <c r="D166" s="23">
        <v>2516041.38</v>
      </c>
      <c r="E166" s="23"/>
      <c r="F166" s="23">
        <v>11294.37</v>
      </c>
      <c r="G166" s="23"/>
      <c r="H166" s="229">
        <v>23612</v>
      </c>
      <c r="I166" s="23"/>
      <c r="J166" s="23">
        <v>11080.88</v>
      </c>
      <c r="K166" s="23">
        <v>396865</v>
      </c>
      <c r="L166" s="23"/>
      <c r="M166" s="229">
        <v>40855.699999999997</v>
      </c>
      <c r="O166" s="229"/>
      <c r="P166" s="229"/>
    </row>
    <row r="167" spans="1:16" ht="16.5">
      <c r="A167" s="118" t="s">
        <v>214</v>
      </c>
      <c r="B167" s="227" t="s">
        <v>719</v>
      </c>
      <c r="C167" s="23">
        <v>162441.4</v>
      </c>
      <c r="D167" s="23">
        <v>966067.77</v>
      </c>
      <c r="E167" s="23"/>
      <c r="F167" s="23"/>
      <c r="G167" s="23"/>
      <c r="H167" s="229">
        <v>12790</v>
      </c>
      <c r="I167" s="23"/>
      <c r="J167" s="23">
        <v>41184</v>
      </c>
      <c r="K167" s="23">
        <v>156194</v>
      </c>
      <c r="L167" s="23"/>
      <c r="O167" s="229"/>
      <c r="P167" s="229"/>
    </row>
    <row r="168" spans="1:16" ht="16.5">
      <c r="A168" s="118" t="s">
        <v>216</v>
      </c>
      <c r="B168" s="227" t="s">
        <v>720</v>
      </c>
      <c r="C168" s="23">
        <v>549667.82999999996</v>
      </c>
      <c r="D168" s="23">
        <v>2685516.29</v>
      </c>
      <c r="E168" s="23"/>
      <c r="F168" s="23">
        <v>12137.16</v>
      </c>
      <c r="G168" s="23"/>
      <c r="H168" s="229"/>
      <c r="I168" s="23"/>
      <c r="J168" s="23">
        <v>114897</v>
      </c>
      <c r="K168" s="23">
        <v>428214</v>
      </c>
      <c r="L168" s="23"/>
      <c r="M168" s="229">
        <v>28465.97</v>
      </c>
      <c r="O168" s="229"/>
      <c r="P168" s="229"/>
    </row>
    <row r="169" spans="1:16" ht="16.5">
      <c r="A169" s="118" t="s">
        <v>48</v>
      </c>
      <c r="B169" s="227" t="s">
        <v>721</v>
      </c>
      <c r="C169" s="23">
        <v>1165961.45</v>
      </c>
      <c r="D169" s="23">
        <v>8479598.3399999999</v>
      </c>
      <c r="E169" s="23"/>
      <c r="F169" s="23">
        <v>14107.11</v>
      </c>
      <c r="G169" s="23"/>
      <c r="H169" s="229">
        <v>281740.25</v>
      </c>
      <c r="I169" s="23"/>
      <c r="J169" s="23">
        <v>270457</v>
      </c>
      <c r="K169" s="23">
        <v>1260268</v>
      </c>
      <c r="L169" s="23"/>
      <c r="M169" s="229">
        <v>36605.85</v>
      </c>
      <c r="O169" s="229"/>
      <c r="P169" s="229"/>
    </row>
    <row r="170" spans="1:16" ht="16.5">
      <c r="A170" s="118" t="s">
        <v>50</v>
      </c>
      <c r="B170" s="227" t="s">
        <v>722</v>
      </c>
      <c r="C170" s="23">
        <v>467945.18</v>
      </c>
      <c r="D170" s="23">
        <v>3112742.77</v>
      </c>
      <c r="E170" s="23"/>
      <c r="F170" s="23">
        <v>8909.7900000000009</v>
      </c>
      <c r="G170" s="23"/>
      <c r="H170" s="229">
        <v>11806</v>
      </c>
      <c r="I170" s="23"/>
      <c r="K170" s="23">
        <v>519087.26</v>
      </c>
      <c r="L170" s="23"/>
      <c r="M170" s="229">
        <v>22375.5</v>
      </c>
      <c r="O170" s="229">
        <v>71498</v>
      </c>
      <c r="P170" s="229"/>
    </row>
    <row r="171" spans="1:16" ht="16.5">
      <c r="A171" s="118" t="s">
        <v>316</v>
      </c>
      <c r="B171" s="227" t="s">
        <v>723</v>
      </c>
      <c r="C171" s="23">
        <v>13703.1</v>
      </c>
      <c r="D171" s="23">
        <v>71939.72</v>
      </c>
      <c r="E171" s="23"/>
      <c r="F171" s="23"/>
      <c r="G171" s="23"/>
      <c r="H171" s="229"/>
      <c r="I171" s="23"/>
      <c r="K171" s="23">
        <v>12243</v>
      </c>
      <c r="L171" s="23"/>
      <c r="O171" s="229"/>
      <c r="P171" s="229"/>
    </row>
    <row r="172" spans="1:16" ht="16.5">
      <c r="A172" s="118" t="s">
        <v>318</v>
      </c>
      <c r="B172" s="227" t="s">
        <v>724</v>
      </c>
      <c r="C172" s="23">
        <v>4565731.68</v>
      </c>
      <c r="D172" s="23">
        <v>21268993.370000001</v>
      </c>
      <c r="E172" s="23"/>
      <c r="F172" s="23">
        <v>3176</v>
      </c>
      <c r="G172" s="23"/>
      <c r="H172" s="229">
        <v>95925</v>
      </c>
      <c r="I172" s="23"/>
      <c r="J172" s="23">
        <v>67157.05</v>
      </c>
      <c r="K172" s="23">
        <v>3090156.27</v>
      </c>
      <c r="L172" s="23"/>
      <c r="M172" s="229">
        <v>127772.32</v>
      </c>
      <c r="O172" s="229"/>
      <c r="P172" s="229"/>
    </row>
    <row r="173" spans="1:16" ht="16.5">
      <c r="A173" s="118" t="s">
        <v>320</v>
      </c>
      <c r="B173" s="227" t="s">
        <v>725</v>
      </c>
      <c r="C173" s="23">
        <v>23845.279999999999</v>
      </c>
      <c r="D173" s="23">
        <v>193392.21</v>
      </c>
      <c r="E173" s="23"/>
      <c r="F173" s="23"/>
      <c r="G173" s="23"/>
      <c r="H173" s="229"/>
      <c r="I173" s="23"/>
      <c r="K173" s="23">
        <v>47054</v>
      </c>
      <c r="L173" s="23"/>
      <c r="O173" s="229"/>
      <c r="P173" s="229"/>
    </row>
    <row r="174" spans="1:16" ht="16.5">
      <c r="A174" s="118" t="s">
        <v>322</v>
      </c>
      <c r="B174" s="227" t="s">
        <v>726</v>
      </c>
      <c r="C174" s="23">
        <v>6077096.4299999997</v>
      </c>
      <c r="D174" s="23">
        <v>33571001.82</v>
      </c>
      <c r="E174" s="23"/>
      <c r="F174" s="23">
        <v>27827.32</v>
      </c>
      <c r="G174" s="23"/>
      <c r="H174" s="229"/>
      <c r="I174" s="23"/>
      <c r="J174" s="23">
        <v>210607.81</v>
      </c>
      <c r="K174" s="23">
        <v>4686785.59</v>
      </c>
      <c r="L174" s="23"/>
      <c r="M174" s="229">
        <v>71599.64</v>
      </c>
      <c r="O174" s="229"/>
      <c r="P174" s="229"/>
    </row>
    <row r="175" spans="1:16" ht="16.5">
      <c r="A175" s="118" t="s">
        <v>324</v>
      </c>
      <c r="B175" s="227" t="s">
        <v>727</v>
      </c>
      <c r="C175" s="23">
        <v>2200058.2599999998</v>
      </c>
      <c r="D175" s="23">
        <v>10324501.23</v>
      </c>
      <c r="E175" s="23"/>
      <c r="F175" s="23"/>
      <c r="G175" s="23"/>
      <c r="H175" s="229">
        <v>271051</v>
      </c>
      <c r="I175" s="23"/>
      <c r="J175" s="23">
        <v>266972</v>
      </c>
      <c r="K175" s="23">
        <v>1218352</v>
      </c>
      <c r="L175" s="23"/>
      <c r="M175" s="229">
        <v>69926.11</v>
      </c>
      <c r="O175" s="229">
        <v>74689.62</v>
      </c>
      <c r="P175" s="229"/>
    </row>
    <row r="176" spans="1:16" ht="16.5">
      <c r="A176" s="118" t="s">
        <v>326</v>
      </c>
      <c r="B176" s="227" t="s">
        <v>728</v>
      </c>
      <c r="C176" s="23">
        <v>17020.830000000002</v>
      </c>
      <c r="D176" s="23">
        <v>178914.43</v>
      </c>
      <c r="E176" s="23"/>
      <c r="F176" s="23"/>
      <c r="G176" s="23"/>
      <c r="H176" s="229"/>
      <c r="I176" s="23"/>
      <c r="K176" s="23">
        <v>28553</v>
      </c>
      <c r="L176" s="23"/>
      <c r="O176" s="229"/>
      <c r="P176" s="229"/>
    </row>
    <row r="177" spans="1:16" ht="16.5">
      <c r="A177" s="118" t="s">
        <v>328</v>
      </c>
      <c r="B177" s="227" t="s">
        <v>729</v>
      </c>
      <c r="C177" s="23">
        <v>62566.2</v>
      </c>
      <c r="D177" s="23">
        <v>466417.54</v>
      </c>
      <c r="E177" s="23"/>
      <c r="F177" s="23">
        <v>2201.73</v>
      </c>
      <c r="G177" s="23"/>
      <c r="H177" s="229">
        <v>15975</v>
      </c>
      <c r="I177" s="23"/>
      <c r="K177" s="23">
        <v>77399</v>
      </c>
      <c r="L177" s="23"/>
      <c r="O177" s="229"/>
      <c r="P177" s="229"/>
    </row>
    <row r="178" spans="1:16" ht="16.5">
      <c r="A178" s="118" t="s">
        <v>330</v>
      </c>
      <c r="B178" s="227" t="s">
        <v>914</v>
      </c>
      <c r="C178" s="23">
        <v>363536.78</v>
      </c>
      <c r="D178" s="23">
        <v>1847680.16</v>
      </c>
      <c r="E178" s="23"/>
      <c r="F178" s="23"/>
      <c r="G178" s="23"/>
      <c r="H178" s="229"/>
      <c r="I178" s="23"/>
      <c r="K178" s="23"/>
      <c r="L178" s="23"/>
      <c r="O178" s="229"/>
      <c r="P178" s="229"/>
    </row>
    <row r="179" spans="1:16" ht="16.5">
      <c r="A179" s="118" t="s">
        <v>104</v>
      </c>
      <c r="B179" s="227" t="s">
        <v>730</v>
      </c>
      <c r="C179" s="23">
        <v>93206.95</v>
      </c>
      <c r="D179" s="23">
        <v>651947.79</v>
      </c>
      <c r="E179" s="23"/>
      <c r="F179" s="23"/>
      <c r="G179" s="23"/>
      <c r="H179" s="229"/>
      <c r="I179" s="23"/>
      <c r="K179" s="23">
        <v>173836.29</v>
      </c>
      <c r="L179" s="23"/>
      <c r="O179" s="229"/>
      <c r="P179" s="229"/>
    </row>
    <row r="180" spans="1:16" ht="16.5">
      <c r="A180" s="118" t="s">
        <v>106</v>
      </c>
      <c r="B180" s="227" t="s">
        <v>731</v>
      </c>
      <c r="C180" s="23">
        <v>47460.85</v>
      </c>
      <c r="D180" s="23">
        <v>265838.33</v>
      </c>
      <c r="E180" s="23"/>
      <c r="F180" s="23"/>
      <c r="G180" s="23"/>
      <c r="H180" s="229"/>
      <c r="I180" s="23"/>
      <c r="J180" s="23">
        <v>11069</v>
      </c>
      <c r="K180" s="23">
        <v>51062</v>
      </c>
      <c r="L180" s="23"/>
      <c r="O180" s="229"/>
      <c r="P180" s="229"/>
    </row>
    <row r="181" spans="1:16" ht="16.5">
      <c r="A181" s="118" t="s">
        <v>108</v>
      </c>
      <c r="B181" s="227" t="s">
        <v>732</v>
      </c>
      <c r="C181" s="23">
        <v>254540.67</v>
      </c>
      <c r="D181" s="23">
        <v>1331460.7</v>
      </c>
      <c r="E181" s="23"/>
      <c r="F181" s="23"/>
      <c r="G181" s="23"/>
      <c r="H181" s="229">
        <v>10822</v>
      </c>
      <c r="I181" s="23"/>
      <c r="J181" s="23">
        <v>36899.839999999997</v>
      </c>
      <c r="K181" s="23">
        <v>235256</v>
      </c>
      <c r="L181" s="23"/>
      <c r="O181" s="229"/>
      <c r="P181" s="229"/>
    </row>
    <row r="182" spans="1:16" ht="16.5">
      <c r="A182" s="118" t="s">
        <v>110</v>
      </c>
      <c r="B182" s="227" t="s">
        <v>733</v>
      </c>
      <c r="C182" s="23">
        <v>3229535.78</v>
      </c>
      <c r="D182" s="23">
        <v>13494158.83</v>
      </c>
      <c r="E182" s="23"/>
      <c r="F182" s="23"/>
      <c r="G182" s="23"/>
      <c r="H182" s="229"/>
      <c r="I182" s="23"/>
      <c r="J182" s="23">
        <v>217945.37</v>
      </c>
      <c r="K182" s="23">
        <v>2089812.89</v>
      </c>
      <c r="L182" s="23"/>
      <c r="M182" s="229">
        <v>14810.46</v>
      </c>
      <c r="O182" s="229"/>
      <c r="P182" s="229"/>
    </row>
    <row r="183" spans="1:16" ht="16.5">
      <c r="A183" s="118" t="s">
        <v>112</v>
      </c>
      <c r="B183" s="227" t="s">
        <v>734</v>
      </c>
      <c r="C183" s="23">
        <v>1286792.8400000001</v>
      </c>
      <c r="D183" s="23">
        <v>7562668.7300000004</v>
      </c>
      <c r="E183" s="23"/>
      <c r="F183" s="23">
        <v>9162.09</v>
      </c>
      <c r="G183" s="23"/>
      <c r="H183" s="229">
        <v>37386</v>
      </c>
      <c r="I183" s="23"/>
      <c r="J183" s="23">
        <v>386779.68</v>
      </c>
      <c r="K183" s="23">
        <v>1296820.8</v>
      </c>
      <c r="L183" s="23"/>
      <c r="M183" s="229">
        <v>26031.78</v>
      </c>
      <c r="O183" s="229"/>
      <c r="P183" s="229"/>
    </row>
    <row r="184" spans="1:16" ht="16.5">
      <c r="A184" s="118" t="s">
        <v>114</v>
      </c>
      <c r="B184" s="227" t="s">
        <v>735</v>
      </c>
      <c r="C184" s="23">
        <v>267712.84999999998</v>
      </c>
      <c r="D184" s="23">
        <v>986372.31</v>
      </c>
      <c r="E184" s="23"/>
      <c r="F184" s="23">
        <v>1422.58</v>
      </c>
      <c r="G184" s="23"/>
      <c r="H184" s="229"/>
      <c r="I184" s="23"/>
      <c r="K184" s="23">
        <v>196170.95</v>
      </c>
      <c r="L184" s="23"/>
      <c r="M184" s="229">
        <v>4721.8</v>
      </c>
      <c r="O184" s="229">
        <v>203786.21</v>
      </c>
      <c r="P184" s="229"/>
    </row>
    <row r="185" spans="1:16" ht="16.5">
      <c r="A185" s="118" t="s">
        <v>116</v>
      </c>
      <c r="B185" s="227" t="s">
        <v>736</v>
      </c>
      <c r="C185" s="23">
        <v>2731.45</v>
      </c>
      <c r="D185" s="23">
        <v>36577.519999999997</v>
      </c>
      <c r="E185" s="23"/>
      <c r="F185" s="23"/>
      <c r="G185" s="23"/>
      <c r="H185" s="229"/>
      <c r="I185" s="23"/>
      <c r="J185" s="23">
        <v>2108</v>
      </c>
      <c r="K185" s="23">
        <v>9263</v>
      </c>
      <c r="L185" s="23"/>
      <c r="O185" s="229"/>
      <c r="P185" s="229"/>
    </row>
    <row r="186" spans="1:16" ht="16.5">
      <c r="A186" s="118" t="s">
        <v>118</v>
      </c>
      <c r="B186" s="227" t="s">
        <v>1793</v>
      </c>
      <c r="C186" s="23">
        <v>90806.34</v>
      </c>
      <c r="D186" s="23">
        <v>828167.45</v>
      </c>
      <c r="E186" s="23"/>
      <c r="F186" s="23"/>
      <c r="G186" s="23"/>
      <c r="H186" s="229"/>
      <c r="I186" s="23"/>
      <c r="J186" s="23">
        <v>42325</v>
      </c>
      <c r="K186" s="23">
        <v>143692</v>
      </c>
      <c r="L186" s="23"/>
      <c r="M186" s="229">
        <v>9094.42</v>
      </c>
      <c r="O186" s="229"/>
      <c r="P186" s="229"/>
    </row>
    <row r="187" spans="1:16" ht="16.5">
      <c r="A187" s="118" t="s">
        <v>119</v>
      </c>
      <c r="B187" s="227" t="s">
        <v>738</v>
      </c>
      <c r="C187" s="23">
        <v>7172.38</v>
      </c>
      <c r="D187" s="23">
        <v>34627.879999999997</v>
      </c>
      <c r="E187" s="23"/>
      <c r="F187" s="23"/>
      <c r="G187" s="23"/>
      <c r="H187" s="229"/>
      <c r="I187" s="23"/>
      <c r="K187" s="23">
        <v>71161.41</v>
      </c>
      <c r="L187" s="23"/>
      <c r="O187" s="229"/>
      <c r="P187" s="229"/>
    </row>
    <row r="188" spans="1:16" ht="16.5">
      <c r="A188" s="118" t="s">
        <v>159</v>
      </c>
      <c r="B188" s="227" t="s">
        <v>739</v>
      </c>
      <c r="C188" s="23">
        <v>4293.57</v>
      </c>
      <c r="D188" s="23">
        <v>36860.65</v>
      </c>
      <c r="E188" s="23"/>
      <c r="F188" s="23"/>
      <c r="G188" s="23"/>
      <c r="H188" s="229"/>
      <c r="I188" s="23"/>
      <c r="K188" s="23">
        <v>15118</v>
      </c>
      <c r="L188" s="23"/>
      <c r="O188" s="229"/>
      <c r="P188" s="229"/>
    </row>
    <row r="189" spans="1:16" ht="16.5">
      <c r="A189" s="118" t="s">
        <v>161</v>
      </c>
      <c r="B189" s="227" t="s">
        <v>915</v>
      </c>
      <c r="C189" s="23">
        <v>23571.41</v>
      </c>
      <c r="D189" s="23">
        <v>129717.42</v>
      </c>
      <c r="E189" s="23"/>
      <c r="F189" s="23"/>
      <c r="G189" s="23"/>
      <c r="H189" s="229"/>
      <c r="I189" s="23"/>
      <c r="K189" s="23"/>
      <c r="L189" s="23"/>
      <c r="O189" s="229"/>
      <c r="P189" s="229"/>
    </row>
    <row r="190" spans="1:16" ht="16.5">
      <c r="A190" s="118" t="s">
        <v>163</v>
      </c>
      <c r="B190" s="227" t="s">
        <v>740</v>
      </c>
      <c r="C190" s="23">
        <v>94243.86</v>
      </c>
      <c r="D190" s="23">
        <v>590502.92000000004</v>
      </c>
      <c r="E190" s="23"/>
      <c r="F190" s="23"/>
      <c r="G190" s="23"/>
      <c r="H190" s="229"/>
      <c r="I190" s="23"/>
      <c r="J190" s="23">
        <v>30125</v>
      </c>
      <c r="K190" s="23">
        <v>141643</v>
      </c>
      <c r="L190" s="23"/>
      <c r="M190" s="229">
        <v>39030.629999999997</v>
      </c>
      <c r="O190" s="229"/>
      <c r="P190" s="229"/>
    </row>
    <row r="191" spans="1:16" ht="16.5">
      <c r="A191" s="118" t="s">
        <v>165</v>
      </c>
      <c r="B191" s="227" t="s">
        <v>741</v>
      </c>
      <c r="C191" s="23">
        <v>731874.5</v>
      </c>
      <c r="D191" s="23">
        <v>4210794.59</v>
      </c>
      <c r="E191" s="23"/>
      <c r="F191" s="23">
        <v>3864.56</v>
      </c>
      <c r="G191" s="23"/>
      <c r="H191" s="229"/>
      <c r="I191" s="23"/>
      <c r="J191" s="23">
        <v>72282.37</v>
      </c>
      <c r="K191" s="23">
        <v>650408.03</v>
      </c>
      <c r="L191" s="23"/>
      <c r="M191" s="229">
        <v>15251.07</v>
      </c>
      <c r="O191" s="229"/>
      <c r="P191" s="229"/>
    </row>
    <row r="192" spans="1:16" ht="16.5">
      <c r="A192" s="118" t="s">
        <v>167</v>
      </c>
      <c r="B192" s="227" t="s">
        <v>742</v>
      </c>
      <c r="C192" s="23">
        <v>1109665.45</v>
      </c>
      <c r="D192" s="23">
        <v>5457821.6200000001</v>
      </c>
      <c r="E192" s="23"/>
      <c r="F192" s="23"/>
      <c r="G192" s="23"/>
      <c r="H192" s="229"/>
      <c r="I192" s="23"/>
      <c r="J192" s="23">
        <v>80188.5</v>
      </c>
      <c r="K192" s="23">
        <v>841484.06</v>
      </c>
      <c r="L192" s="23"/>
      <c r="M192" s="229">
        <v>51171.42</v>
      </c>
      <c r="O192" s="229"/>
      <c r="P192" s="229"/>
    </row>
    <row r="193" spans="1:16" ht="16.5">
      <c r="A193" s="118" t="s">
        <v>169</v>
      </c>
      <c r="B193" s="227" t="s">
        <v>743</v>
      </c>
      <c r="C193" s="23">
        <v>1805.42</v>
      </c>
      <c r="D193" s="23">
        <v>48728.08</v>
      </c>
      <c r="E193" s="23"/>
      <c r="F193" s="23"/>
      <c r="G193" s="23"/>
      <c r="H193" s="229"/>
      <c r="I193" s="23"/>
      <c r="J193" s="23">
        <v>1645</v>
      </c>
      <c r="K193" s="23">
        <v>6411.95</v>
      </c>
      <c r="L193" s="23"/>
      <c r="O193" s="229"/>
      <c r="P193" s="229"/>
    </row>
    <row r="194" spans="1:16" ht="16.5">
      <c r="A194" s="118" t="s">
        <v>0</v>
      </c>
      <c r="B194" s="227" t="s">
        <v>744</v>
      </c>
      <c r="C194" s="23">
        <v>25117.32</v>
      </c>
      <c r="D194" s="23">
        <v>173835.51999999999</v>
      </c>
      <c r="E194" s="23"/>
      <c r="F194" s="23"/>
      <c r="G194" s="23"/>
      <c r="H194" s="229"/>
      <c r="I194" s="23"/>
      <c r="J194" s="23">
        <v>8493</v>
      </c>
      <c r="K194" s="23">
        <v>49550</v>
      </c>
      <c r="L194" s="23"/>
      <c r="O194" s="229"/>
      <c r="P194" s="229"/>
    </row>
    <row r="195" spans="1:16" ht="16.5">
      <c r="A195" s="118" t="s">
        <v>2</v>
      </c>
      <c r="B195" s="227" t="s">
        <v>745</v>
      </c>
      <c r="C195" s="23">
        <v>5400598.5800000001</v>
      </c>
      <c r="D195" s="23">
        <v>20886107.260000002</v>
      </c>
      <c r="E195" s="23"/>
      <c r="F195" s="23"/>
      <c r="G195" s="23"/>
      <c r="H195" s="229"/>
      <c r="I195" s="23"/>
      <c r="J195" s="23">
        <v>404947.29</v>
      </c>
      <c r="K195" s="23">
        <v>2961090.41</v>
      </c>
      <c r="L195" s="23"/>
      <c r="M195" s="229">
        <v>355600.75</v>
      </c>
      <c r="O195" s="229">
        <v>895718.34</v>
      </c>
      <c r="P195" s="229"/>
    </row>
    <row r="196" spans="1:16" ht="16.5">
      <c r="A196" s="118" t="s">
        <v>388</v>
      </c>
      <c r="B196" s="227" t="s">
        <v>746</v>
      </c>
      <c r="D196" s="23">
        <v>371561.89</v>
      </c>
      <c r="E196" s="23"/>
      <c r="F196" s="23"/>
      <c r="G196" s="23"/>
      <c r="H196" s="229"/>
      <c r="I196" s="23"/>
      <c r="K196" s="23">
        <v>44470</v>
      </c>
      <c r="L196" s="23"/>
      <c r="O196" s="229"/>
      <c r="P196" s="229"/>
    </row>
    <row r="197" spans="1:16" ht="16.5">
      <c r="A197" s="118" t="s">
        <v>391</v>
      </c>
      <c r="B197" s="227" t="s">
        <v>747</v>
      </c>
      <c r="C197" s="23">
        <v>18310.22</v>
      </c>
      <c r="D197" s="23">
        <v>163323.92000000001</v>
      </c>
      <c r="E197" s="23"/>
      <c r="F197" s="23"/>
      <c r="G197" s="23"/>
      <c r="H197" s="229"/>
      <c r="I197" s="23"/>
      <c r="K197" s="23">
        <v>25265</v>
      </c>
      <c r="L197" s="23"/>
      <c r="O197" s="229"/>
      <c r="P197" s="229"/>
    </row>
    <row r="198" spans="1:16" ht="16.5">
      <c r="A198" s="118" t="s">
        <v>393</v>
      </c>
      <c r="B198" s="227" t="s">
        <v>748</v>
      </c>
      <c r="C198" s="23">
        <v>69452.98</v>
      </c>
      <c r="D198" s="23">
        <v>354345.92</v>
      </c>
      <c r="E198" s="23"/>
      <c r="F198" s="23"/>
      <c r="G198" s="23"/>
      <c r="H198" s="229"/>
      <c r="I198" s="23"/>
      <c r="J198" s="23">
        <v>13112</v>
      </c>
      <c r="K198" s="23">
        <v>67141</v>
      </c>
      <c r="L198" s="23"/>
      <c r="M198" s="229">
        <v>1411.13</v>
      </c>
      <c r="O198" s="229"/>
      <c r="P198" s="229"/>
    </row>
    <row r="199" spans="1:16" ht="16.5">
      <c r="A199" s="118" t="s">
        <v>395</v>
      </c>
      <c r="B199" s="227" t="s">
        <v>749</v>
      </c>
      <c r="C199" s="23">
        <v>2427717.64</v>
      </c>
      <c r="D199" s="23">
        <v>12284188.57</v>
      </c>
      <c r="E199" s="23"/>
      <c r="F199" s="23"/>
      <c r="G199" s="23"/>
      <c r="H199" s="229"/>
      <c r="I199" s="23"/>
      <c r="J199" s="23">
        <v>348977.11</v>
      </c>
      <c r="K199" s="23">
        <v>1966094</v>
      </c>
      <c r="L199" s="23"/>
      <c r="O199" s="229"/>
      <c r="P199" s="229"/>
    </row>
    <row r="200" spans="1:16" ht="16.5">
      <c r="A200" s="118" t="s">
        <v>1515</v>
      </c>
      <c r="B200" s="227" t="s">
        <v>1780</v>
      </c>
      <c r="C200" s="23">
        <v>19475.39</v>
      </c>
      <c r="D200" s="23">
        <v>95963.91</v>
      </c>
      <c r="E200" s="23"/>
      <c r="F200" s="23"/>
      <c r="G200" s="23"/>
      <c r="H200" s="229"/>
      <c r="I200" s="23"/>
      <c r="J200" s="23">
        <v>4557</v>
      </c>
      <c r="K200" s="23">
        <v>20009</v>
      </c>
      <c r="L200" s="23"/>
      <c r="O200" s="229"/>
      <c r="P200" s="229"/>
    </row>
    <row r="201" spans="1:16" ht="16.5">
      <c r="A201" s="118" t="s">
        <v>397</v>
      </c>
      <c r="B201" s="227" t="s">
        <v>750</v>
      </c>
      <c r="C201" s="23">
        <v>176979.97</v>
      </c>
      <c r="D201" s="23">
        <v>973471.86</v>
      </c>
      <c r="E201" s="23"/>
      <c r="F201" s="23"/>
      <c r="G201" s="23"/>
      <c r="H201" s="229"/>
      <c r="I201" s="23"/>
      <c r="K201" s="23">
        <v>227701.72</v>
      </c>
      <c r="L201" s="23"/>
      <c r="O201" s="229"/>
      <c r="P201" s="229"/>
    </row>
    <row r="202" spans="1:16" ht="16.5">
      <c r="A202" s="118" t="s">
        <v>399</v>
      </c>
      <c r="B202" s="227" t="s">
        <v>751</v>
      </c>
      <c r="C202" s="23">
        <v>111667.51</v>
      </c>
      <c r="D202" s="23">
        <v>462981.25</v>
      </c>
      <c r="E202" s="23"/>
      <c r="F202" s="23"/>
      <c r="G202" s="23"/>
      <c r="H202" s="229"/>
      <c r="I202" s="23"/>
      <c r="J202" s="23">
        <v>18070</v>
      </c>
      <c r="K202" s="23">
        <v>80783</v>
      </c>
      <c r="L202" s="23"/>
      <c r="O202" s="229"/>
      <c r="P202" s="229"/>
    </row>
    <row r="203" spans="1:16" ht="16.5">
      <c r="A203" s="118" t="s">
        <v>401</v>
      </c>
      <c r="B203" s="227" t="s">
        <v>752</v>
      </c>
      <c r="C203" s="23">
        <v>1051917.46</v>
      </c>
      <c r="D203" s="23">
        <v>4761422.8600000003</v>
      </c>
      <c r="E203" s="23"/>
      <c r="F203" s="23"/>
      <c r="G203" s="23"/>
      <c r="H203" s="229">
        <v>18693</v>
      </c>
      <c r="I203" s="23"/>
      <c r="J203" s="23">
        <v>116423.38</v>
      </c>
      <c r="K203" s="23">
        <v>928638</v>
      </c>
      <c r="L203" s="23"/>
      <c r="M203" s="229">
        <v>121032.31</v>
      </c>
      <c r="O203" s="229"/>
      <c r="P203" s="229"/>
    </row>
    <row r="204" spans="1:16" ht="16.5">
      <c r="A204" s="118" t="s">
        <v>384</v>
      </c>
      <c r="B204" s="227" t="s">
        <v>753</v>
      </c>
      <c r="C204" s="23">
        <v>207914.86</v>
      </c>
      <c r="D204" s="23">
        <v>1661448.81</v>
      </c>
      <c r="E204" s="23"/>
      <c r="F204" s="23"/>
      <c r="G204" s="23"/>
      <c r="H204" s="229"/>
      <c r="I204" s="23"/>
      <c r="J204" s="23">
        <v>60076</v>
      </c>
      <c r="K204" s="23">
        <v>310949</v>
      </c>
      <c r="L204" s="23"/>
      <c r="M204" s="229">
        <v>6781.52</v>
      </c>
      <c r="O204" s="229"/>
      <c r="P204" s="229"/>
    </row>
    <row r="205" spans="1:16" ht="16.5">
      <c r="A205" s="118" t="s">
        <v>386</v>
      </c>
      <c r="B205" s="227" t="s">
        <v>754</v>
      </c>
      <c r="C205" s="23">
        <v>57238.400000000001</v>
      </c>
      <c r="D205" s="23">
        <v>302742.01</v>
      </c>
      <c r="E205" s="23"/>
      <c r="F205" s="23"/>
      <c r="G205" s="23"/>
      <c r="H205" s="229"/>
      <c r="I205" s="23">
        <v>23261.75</v>
      </c>
      <c r="K205" s="23">
        <v>114436</v>
      </c>
      <c r="L205" s="23"/>
      <c r="O205" s="229"/>
      <c r="P205" s="229"/>
    </row>
    <row r="206" spans="1:16" ht="16.5">
      <c r="A206" s="118" t="s">
        <v>936</v>
      </c>
      <c r="B206" s="227" t="s">
        <v>1517</v>
      </c>
      <c r="C206" s="23">
        <v>74051.070000000007</v>
      </c>
      <c r="D206" s="23">
        <v>701644.03</v>
      </c>
      <c r="E206" s="23"/>
      <c r="F206" s="23"/>
      <c r="G206" s="23"/>
      <c r="H206" s="229"/>
      <c r="I206" s="23"/>
      <c r="J206" s="23">
        <v>34742</v>
      </c>
      <c r="K206" s="23">
        <v>119645</v>
      </c>
      <c r="L206" s="23"/>
      <c r="O206" s="229"/>
      <c r="P206" s="229"/>
    </row>
    <row r="207" spans="1:16" ht="16.5">
      <c r="A207" s="118" t="s">
        <v>348</v>
      </c>
      <c r="B207" s="227" t="s">
        <v>755</v>
      </c>
      <c r="C207" s="23">
        <v>678053.04</v>
      </c>
      <c r="D207" s="23">
        <v>2824502.1</v>
      </c>
      <c r="E207" s="23"/>
      <c r="F207" s="23"/>
      <c r="G207" s="23"/>
      <c r="H207" s="229"/>
      <c r="I207" s="23"/>
      <c r="J207" s="23">
        <v>139563</v>
      </c>
      <c r="K207" s="23">
        <v>533574</v>
      </c>
      <c r="L207" s="23"/>
      <c r="M207" s="229">
        <v>2650.7</v>
      </c>
      <c r="O207" s="229"/>
      <c r="P207" s="229"/>
    </row>
    <row r="208" spans="1:16" ht="16.5">
      <c r="A208" s="118" t="s">
        <v>350</v>
      </c>
      <c r="B208" s="227" t="s">
        <v>756</v>
      </c>
      <c r="C208" s="23">
        <v>486737.56</v>
      </c>
      <c r="D208" s="23">
        <v>3158117.9</v>
      </c>
      <c r="E208" s="23"/>
      <c r="F208" s="23">
        <v>16753.48</v>
      </c>
      <c r="G208" s="23"/>
      <c r="H208" s="229"/>
      <c r="I208" s="23"/>
      <c r="J208" s="23">
        <v>32221.87</v>
      </c>
      <c r="K208" s="23">
        <v>435093.67</v>
      </c>
      <c r="L208" s="23"/>
      <c r="M208" s="229">
        <v>56503.94</v>
      </c>
      <c r="O208" s="229"/>
      <c r="P208" s="229"/>
    </row>
    <row r="209" spans="1:16" ht="16.5">
      <c r="A209" s="118" t="s">
        <v>1518</v>
      </c>
      <c r="B209" s="227" t="s">
        <v>1806</v>
      </c>
      <c r="C209" s="23">
        <v>20977.45</v>
      </c>
      <c r="D209" s="23">
        <v>93914.71</v>
      </c>
      <c r="E209" s="23"/>
      <c r="F209" s="23"/>
      <c r="G209" s="23"/>
      <c r="H209" s="229"/>
      <c r="I209" s="23"/>
      <c r="K209" s="23">
        <v>16730</v>
      </c>
      <c r="L209" s="23"/>
      <c r="O209" s="229"/>
      <c r="P209" s="229"/>
    </row>
    <row r="210" spans="1:16" ht="16.5">
      <c r="A210" s="118" t="s">
        <v>352</v>
      </c>
      <c r="B210" s="227" t="s">
        <v>757</v>
      </c>
      <c r="C210" s="23">
        <v>6331367.9299999997</v>
      </c>
      <c r="D210" s="23">
        <v>27185358.050000001</v>
      </c>
      <c r="E210" s="23"/>
      <c r="F210" s="23"/>
      <c r="G210" s="23"/>
      <c r="H210" s="229"/>
      <c r="I210" s="23"/>
      <c r="J210" s="23">
        <v>1142019</v>
      </c>
      <c r="K210" s="23">
        <v>4597738</v>
      </c>
      <c r="L210" s="23"/>
      <c r="M210" s="229">
        <v>285518.14</v>
      </c>
      <c r="O210" s="229">
        <v>1436169.29</v>
      </c>
      <c r="P210" s="229"/>
    </row>
    <row r="211" spans="1:16" ht="16.5">
      <c r="A211" s="118" t="s">
        <v>354</v>
      </c>
      <c r="B211" s="227" t="s">
        <v>758</v>
      </c>
      <c r="C211" s="23">
        <v>3751.75</v>
      </c>
      <c r="D211" s="23">
        <v>64760.55</v>
      </c>
      <c r="E211" s="23"/>
      <c r="F211" s="23"/>
      <c r="G211" s="23"/>
      <c r="H211" s="229">
        <v>6887</v>
      </c>
      <c r="I211" s="23"/>
      <c r="K211" s="23">
        <v>8110</v>
      </c>
      <c r="L211" s="23"/>
      <c r="O211" s="229"/>
      <c r="P211" s="229"/>
    </row>
    <row r="212" spans="1:16" ht="16.5">
      <c r="A212" s="118" t="s">
        <v>67</v>
      </c>
      <c r="B212" s="227" t="s">
        <v>759</v>
      </c>
      <c r="C212" s="23">
        <v>64299.48</v>
      </c>
      <c r="D212" s="23">
        <v>565974.82999999996</v>
      </c>
      <c r="E212" s="23"/>
      <c r="F212" s="23"/>
      <c r="G212" s="23"/>
      <c r="H212" s="229"/>
      <c r="I212" s="23"/>
      <c r="J212" s="23">
        <v>15852.36</v>
      </c>
      <c r="K212" s="23">
        <v>119324</v>
      </c>
      <c r="L212" s="23"/>
      <c r="O212" s="229"/>
      <c r="P212" s="229"/>
    </row>
    <row r="213" spans="1:16" ht="16.5">
      <c r="A213" s="118" t="s">
        <v>940</v>
      </c>
      <c r="B213" s="227" t="s">
        <v>1781</v>
      </c>
      <c r="D213" s="23">
        <v>43345.32</v>
      </c>
      <c r="E213" s="23"/>
      <c r="F213" s="23"/>
      <c r="G213" s="23"/>
      <c r="H213" s="229"/>
      <c r="I213" s="23"/>
      <c r="K213" s="23"/>
      <c r="L213" s="23"/>
      <c r="O213" s="229"/>
      <c r="P213" s="229"/>
    </row>
    <row r="214" spans="1:16" ht="16.5">
      <c r="A214" s="118" t="s">
        <v>243</v>
      </c>
      <c r="B214" s="227" t="s">
        <v>760</v>
      </c>
      <c r="C214" s="23">
        <v>785701.89</v>
      </c>
      <c r="D214" s="23">
        <v>4055668.22</v>
      </c>
      <c r="E214" s="23"/>
      <c r="F214" s="23"/>
      <c r="G214" s="23"/>
      <c r="H214" s="229"/>
      <c r="I214" s="23"/>
      <c r="J214" s="23">
        <v>158600.95999999999</v>
      </c>
      <c r="K214" s="23">
        <v>569836.38</v>
      </c>
      <c r="L214" s="23"/>
      <c r="O214" s="229"/>
      <c r="P214" s="229"/>
    </row>
    <row r="215" spans="1:16" ht="16.5">
      <c r="A215" s="118" t="s">
        <v>245</v>
      </c>
      <c r="B215" s="227" t="s">
        <v>1783</v>
      </c>
      <c r="C215" s="23">
        <v>50084.3</v>
      </c>
      <c r="D215" s="23">
        <v>268312.89</v>
      </c>
      <c r="E215" s="23"/>
      <c r="F215" s="23"/>
      <c r="G215" s="23"/>
      <c r="H215" s="229">
        <v>6887</v>
      </c>
      <c r="I215" s="23"/>
      <c r="K215" s="23"/>
      <c r="L215" s="23"/>
      <c r="O215" s="229"/>
      <c r="P215" s="229"/>
    </row>
    <row r="216" spans="1:16" ht="16.5">
      <c r="A216" s="118" t="s">
        <v>362</v>
      </c>
      <c r="B216" s="227" t="s">
        <v>761</v>
      </c>
      <c r="C216" s="23">
        <v>706733.52</v>
      </c>
      <c r="D216" s="23">
        <v>3856848.87</v>
      </c>
      <c r="E216" s="23"/>
      <c r="F216" s="23"/>
      <c r="G216" s="23"/>
      <c r="H216" s="229"/>
      <c r="I216" s="23"/>
      <c r="J216" s="23">
        <v>171527</v>
      </c>
      <c r="K216" s="23">
        <v>580432.39</v>
      </c>
      <c r="L216" s="23"/>
      <c r="O216" s="229"/>
      <c r="P216" s="229"/>
    </row>
    <row r="217" spans="1:16" ht="16.5">
      <c r="A217" s="118" t="s">
        <v>364</v>
      </c>
      <c r="B217" s="227" t="s">
        <v>762</v>
      </c>
      <c r="C217" s="23">
        <v>219813.25</v>
      </c>
      <c r="D217" s="23">
        <v>1124848.07</v>
      </c>
      <c r="E217" s="23"/>
      <c r="F217" s="23"/>
      <c r="G217" s="23"/>
      <c r="H217" s="229"/>
      <c r="I217" s="23"/>
      <c r="K217" s="23">
        <v>254147.84</v>
      </c>
      <c r="L217" s="23"/>
      <c r="M217" s="229">
        <v>200</v>
      </c>
      <c r="O217" s="229"/>
      <c r="P217" s="229"/>
    </row>
    <row r="218" spans="1:16" ht="16.5">
      <c r="A218" s="118" t="s">
        <v>935</v>
      </c>
      <c r="B218" s="227" t="s">
        <v>1520</v>
      </c>
      <c r="C218" s="23">
        <v>21552.34</v>
      </c>
      <c r="D218" s="23">
        <v>213707.34</v>
      </c>
      <c r="E218" s="23"/>
      <c r="F218" s="23"/>
      <c r="G218" s="23"/>
      <c r="H218" s="229"/>
      <c r="I218" s="23"/>
      <c r="K218" s="23">
        <v>60752</v>
      </c>
      <c r="L218" s="23"/>
      <c r="O218" s="229"/>
      <c r="P218" s="229"/>
    </row>
    <row r="219" spans="1:16" ht="16.5">
      <c r="A219" s="118" t="s">
        <v>366</v>
      </c>
      <c r="B219" s="227" t="s">
        <v>763</v>
      </c>
      <c r="C219" s="23">
        <v>131172.14000000001</v>
      </c>
      <c r="D219" s="23">
        <v>620740.82999999996</v>
      </c>
      <c r="E219" s="23"/>
      <c r="F219" s="23"/>
      <c r="G219" s="23"/>
      <c r="H219" s="229"/>
      <c r="I219" s="23"/>
      <c r="K219" s="23"/>
      <c r="L219" s="23"/>
      <c r="O219" s="229"/>
      <c r="P219" s="229"/>
    </row>
    <row r="220" spans="1:16" ht="16.5">
      <c r="A220" s="118" t="s">
        <v>368</v>
      </c>
      <c r="B220" s="227" t="s">
        <v>1789</v>
      </c>
      <c r="C220" s="23">
        <v>134038.91</v>
      </c>
      <c r="D220" s="23">
        <v>680554.7</v>
      </c>
      <c r="E220" s="23"/>
      <c r="F220" s="23"/>
      <c r="G220" s="23"/>
      <c r="H220" s="229"/>
      <c r="I220" s="23"/>
      <c r="K220" s="23">
        <v>121813.27</v>
      </c>
      <c r="L220" s="23"/>
      <c r="O220" s="229"/>
      <c r="P220" s="229"/>
    </row>
    <row r="221" spans="1:16" ht="16.5">
      <c r="A221" s="118" t="s">
        <v>370</v>
      </c>
      <c r="B221" s="227" t="s">
        <v>765</v>
      </c>
      <c r="C221" s="23">
        <v>5629569.7699999996</v>
      </c>
      <c r="D221" s="23">
        <v>24098612.890000001</v>
      </c>
      <c r="E221" s="23"/>
      <c r="F221" s="23"/>
      <c r="G221" s="23"/>
      <c r="H221" s="229"/>
      <c r="I221" s="23"/>
      <c r="K221" s="23">
        <v>3433755.99</v>
      </c>
      <c r="L221" s="23"/>
      <c r="M221" s="229">
        <v>49805.75</v>
      </c>
      <c r="O221" s="229">
        <v>147534.54999999999</v>
      </c>
      <c r="P221" s="229"/>
    </row>
    <row r="222" spans="1:16" ht="16.5">
      <c r="A222" s="118" t="s">
        <v>372</v>
      </c>
      <c r="B222" s="227" t="s">
        <v>766</v>
      </c>
      <c r="C222" s="23">
        <v>84713.81</v>
      </c>
      <c r="D222" s="23">
        <v>436980.87</v>
      </c>
      <c r="E222" s="23"/>
      <c r="F222" s="23"/>
      <c r="G222" s="23"/>
      <c r="H222" s="229"/>
      <c r="I222" s="23"/>
      <c r="K222" s="23">
        <v>84580</v>
      </c>
      <c r="L222" s="23"/>
      <c r="O222" s="229"/>
      <c r="P222" s="229"/>
    </row>
    <row r="223" spans="1:16" ht="16.5">
      <c r="A223" s="118" t="s">
        <v>374</v>
      </c>
      <c r="B223" s="227" t="s">
        <v>767</v>
      </c>
      <c r="C223" s="23">
        <v>3748946.52</v>
      </c>
      <c r="D223" s="23">
        <v>16075867.99</v>
      </c>
      <c r="E223" s="23"/>
      <c r="F223" s="23"/>
      <c r="G223" s="23"/>
      <c r="H223" s="229"/>
      <c r="I223" s="23"/>
      <c r="J223" s="23">
        <v>490160.93</v>
      </c>
      <c r="K223" s="23">
        <v>2544236.5499999998</v>
      </c>
      <c r="L223" s="23"/>
      <c r="M223" s="229">
        <v>209667.39</v>
      </c>
      <c r="O223" s="229"/>
      <c r="P223" s="229"/>
    </row>
    <row r="224" spans="1:16" ht="16.5">
      <c r="A224" s="118" t="s">
        <v>376</v>
      </c>
      <c r="B224" s="227" t="s">
        <v>918</v>
      </c>
      <c r="C224" s="23">
        <v>608386.92000000004</v>
      </c>
      <c r="D224" s="23">
        <v>3972319.39</v>
      </c>
      <c r="E224" s="23"/>
      <c r="F224" s="23"/>
      <c r="G224" s="23"/>
      <c r="H224" s="229"/>
      <c r="I224" s="23"/>
      <c r="J224" s="23">
        <v>9261.23</v>
      </c>
      <c r="K224" s="23">
        <v>572188.27</v>
      </c>
      <c r="L224" s="23"/>
      <c r="N224" s="229">
        <v>9638.67</v>
      </c>
      <c r="O224" s="229">
        <v>204680</v>
      </c>
      <c r="P224" s="229"/>
    </row>
    <row r="225" spans="1:16" ht="16.5">
      <c r="A225" s="118" t="s">
        <v>378</v>
      </c>
      <c r="B225" s="227" t="s">
        <v>768</v>
      </c>
      <c r="C225" s="23">
        <v>35868.800000000003</v>
      </c>
      <c r="D225" s="23">
        <v>253874.92</v>
      </c>
      <c r="E225" s="23"/>
      <c r="F225" s="23"/>
      <c r="G225" s="23"/>
      <c r="H225" s="229"/>
      <c r="I225" s="23"/>
      <c r="K225" s="23">
        <v>73096</v>
      </c>
      <c r="L225" s="23"/>
      <c r="O225" s="229"/>
      <c r="P225" s="229"/>
    </row>
    <row r="226" spans="1:16" ht="16.5">
      <c r="A226" s="118" t="s">
        <v>380</v>
      </c>
      <c r="B226" s="227" t="s">
        <v>769</v>
      </c>
      <c r="C226" s="23">
        <v>339447.33</v>
      </c>
      <c r="D226" s="23">
        <v>1826995.11</v>
      </c>
      <c r="E226" s="23"/>
      <c r="F226" s="23"/>
      <c r="G226" s="23"/>
      <c r="H226" s="229"/>
      <c r="I226" s="23"/>
      <c r="K226" s="23">
        <v>381429</v>
      </c>
      <c r="L226" s="23"/>
      <c r="O226" s="229"/>
      <c r="P226" s="229"/>
    </row>
    <row r="227" spans="1:16" ht="16.5">
      <c r="A227" s="118" t="s">
        <v>382</v>
      </c>
      <c r="B227" s="227" t="s">
        <v>770</v>
      </c>
      <c r="C227" s="23">
        <v>543672.18999999994</v>
      </c>
      <c r="D227" s="23">
        <v>3405139.35</v>
      </c>
      <c r="E227" s="23"/>
      <c r="F227" s="23"/>
      <c r="G227" s="23"/>
      <c r="H227" s="229"/>
      <c r="I227" s="23"/>
      <c r="K227" s="23">
        <v>631659.17000000004</v>
      </c>
      <c r="L227" s="23"/>
      <c r="O227" s="229"/>
      <c r="P227" s="229"/>
    </row>
    <row r="228" spans="1:16" ht="16.5">
      <c r="A228" s="118" t="s">
        <v>270</v>
      </c>
      <c r="B228" s="227" t="s">
        <v>771</v>
      </c>
      <c r="C228" s="23">
        <v>446187.46</v>
      </c>
      <c r="D228" s="23">
        <v>2932864.21</v>
      </c>
      <c r="E228" s="23"/>
      <c r="F228" s="23"/>
      <c r="G228" s="23"/>
      <c r="H228" s="229"/>
      <c r="I228" s="23"/>
      <c r="J228" s="23">
        <v>49945.71</v>
      </c>
      <c r="K228" s="23">
        <v>711917.51</v>
      </c>
      <c r="L228" s="23"/>
      <c r="M228" s="229">
        <v>42016.06</v>
      </c>
      <c r="O228" s="229"/>
      <c r="P228" s="229"/>
    </row>
    <row r="229" spans="1:16" ht="16.5">
      <c r="A229" s="118" t="s">
        <v>272</v>
      </c>
      <c r="B229" s="227" t="s">
        <v>919</v>
      </c>
      <c r="C229" s="23">
        <v>6632.18</v>
      </c>
      <c r="D229" s="23">
        <v>46305.38</v>
      </c>
      <c r="E229" s="23"/>
      <c r="F229" s="23"/>
      <c r="G229" s="23"/>
      <c r="H229" s="229"/>
      <c r="I229" s="23"/>
      <c r="K229" s="23"/>
      <c r="L229" s="23"/>
      <c r="O229" s="229"/>
      <c r="P229" s="229"/>
    </row>
    <row r="230" spans="1:16" ht="16.5">
      <c r="A230" s="118" t="s">
        <v>274</v>
      </c>
      <c r="B230" s="227" t="s">
        <v>772</v>
      </c>
      <c r="C230" s="23">
        <v>19874.45</v>
      </c>
      <c r="D230" s="23">
        <v>191428.99</v>
      </c>
      <c r="E230" s="23"/>
      <c r="F230" s="23"/>
      <c r="G230" s="23"/>
      <c r="H230" s="229"/>
      <c r="I230" s="23"/>
      <c r="K230" s="23">
        <v>45603.28</v>
      </c>
      <c r="L230" s="23"/>
      <c r="O230" s="229"/>
      <c r="P230" s="229"/>
    </row>
    <row r="231" spans="1:16" ht="16.5">
      <c r="A231" s="118" t="s">
        <v>276</v>
      </c>
      <c r="B231" s="227" t="s">
        <v>773</v>
      </c>
      <c r="C231" s="23">
        <v>432313.73</v>
      </c>
      <c r="D231" s="23">
        <v>1980042.53</v>
      </c>
      <c r="E231" s="23"/>
      <c r="F231" s="23"/>
      <c r="G231" s="23"/>
      <c r="H231" s="229"/>
      <c r="I231" s="23"/>
      <c r="K231" s="23">
        <v>316735</v>
      </c>
      <c r="L231" s="23"/>
      <c r="O231" s="229"/>
      <c r="P231" s="229"/>
    </row>
    <row r="232" spans="1:16" ht="16.5">
      <c r="A232" s="118" t="s">
        <v>961</v>
      </c>
      <c r="B232" s="227" t="s">
        <v>1784</v>
      </c>
      <c r="C232" s="23">
        <v>67447.94</v>
      </c>
      <c r="D232" s="23">
        <v>189546.23999999999</v>
      </c>
      <c r="E232" s="23"/>
      <c r="F232" s="23"/>
      <c r="G232" s="23"/>
      <c r="H232" s="229"/>
      <c r="I232" s="23"/>
      <c r="J232" s="23">
        <v>8111</v>
      </c>
      <c r="K232" s="23">
        <v>91799</v>
      </c>
      <c r="L232" s="23"/>
      <c r="O232" s="229"/>
      <c r="P232" s="229"/>
    </row>
    <row r="233" spans="1:16" ht="16.5">
      <c r="A233" s="118" t="s">
        <v>546</v>
      </c>
      <c r="B233" s="227" t="s">
        <v>853</v>
      </c>
      <c r="C233" s="23">
        <v>174559.09</v>
      </c>
      <c r="D233" s="23">
        <v>1116450.8</v>
      </c>
      <c r="E233" s="23"/>
      <c r="F233" s="23">
        <v>1705.5</v>
      </c>
      <c r="G233" s="23"/>
      <c r="H233" s="229"/>
      <c r="I233" s="23"/>
      <c r="J233" s="23">
        <v>43004.09</v>
      </c>
      <c r="K233" s="23">
        <v>191141</v>
      </c>
      <c r="L233" s="23"/>
      <c r="M233" s="229">
        <v>5623.29</v>
      </c>
      <c r="O233" s="229"/>
      <c r="P233" s="229"/>
    </row>
    <row r="234" spans="1:16" ht="16.5">
      <c r="A234" s="118" t="s">
        <v>547</v>
      </c>
      <c r="B234" s="227" t="s">
        <v>774</v>
      </c>
      <c r="C234" s="23">
        <v>5195.51</v>
      </c>
      <c r="D234" s="23">
        <v>67312.490000000005</v>
      </c>
      <c r="E234" s="23"/>
      <c r="F234" s="23"/>
      <c r="G234" s="23"/>
      <c r="H234" s="229"/>
      <c r="I234" s="23"/>
      <c r="K234" s="23">
        <v>19292</v>
      </c>
      <c r="L234" s="23"/>
      <c r="O234" s="229"/>
      <c r="P234" s="229"/>
    </row>
    <row r="235" spans="1:16" ht="16.5">
      <c r="A235" s="118" t="s">
        <v>549</v>
      </c>
      <c r="B235" s="227" t="s">
        <v>775</v>
      </c>
      <c r="C235" s="23">
        <v>14805534.82</v>
      </c>
      <c r="D235" s="23">
        <v>80936177.969999999</v>
      </c>
      <c r="E235" s="23"/>
      <c r="F235" s="23">
        <v>84976.78</v>
      </c>
      <c r="G235" s="23"/>
      <c r="H235" s="229"/>
      <c r="I235" s="23"/>
      <c r="J235" s="23">
        <v>179003.1</v>
      </c>
      <c r="K235" s="23">
        <v>13649939.189999999</v>
      </c>
      <c r="L235" s="23"/>
      <c r="M235" s="229">
        <v>212441.93</v>
      </c>
      <c r="O235" s="229"/>
      <c r="P235" s="229"/>
    </row>
    <row r="236" spans="1:16" ht="16.5">
      <c r="A236" s="118" t="s">
        <v>551</v>
      </c>
      <c r="B236" s="227" t="s">
        <v>1795</v>
      </c>
      <c r="C236" s="23">
        <v>1567264.73</v>
      </c>
      <c r="D236" s="23">
        <v>6884679.2699999996</v>
      </c>
      <c r="E236" s="23"/>
      <c r="F236" s="23"/>
      <c r="G236" s="23"/>
      <c r="H236" s="229"/>
      <c r="I236" s="23"/>
      <c r="K236" s="23">
        <v>1204826.8400000001</v>
      </c>
      <c r="L236" s="23"/>
      <c r="M236" s="229">
        <v>114827.11</v>
      </c>
      <c r="O236" s="229">
        <v>162845.68</v>
      </c>
      <c r="P236" s="229"/>
    </row>
    <row r="237" spans="1:16" ht="16.5">
      <c r="A237" s="118" t="s">
        <v>553</v>
      </c>
      <c r="B237" s="227" t="s">
        <v>776</v>
      </c>
      <c r="C237" s="23">
        <v>685712.14</v>
      </c>
      <c r="D237" s="23">
        <v>4187240.08</v>
      </c>
      <c r="E237" s="23"/>
      <c r="F237" s="23"/>
      <c r="G237" s="23"/>
      <c r="H237" s="229"/>
      <c r="I237" s="23"/>
      <c r="J237" s="23">
        <v>73389.320000000007</v>
      </c>
      <c r="K237" s="23">
        <v>794527.68</v>
      </c>
      <c r="L237" s="23"/>
      <c r="O237" s="229">
        <v>228992.4</v>
      </c>
      <c r="P237" s="229"/>
    </row>
    <row r="238" spans="1:16" ht="16.5">
      <c r="A238" s="118" t="s">
        <v>555</v>
      </c>
      <c r="B238" s="227" t="s">
        <v>777</v>
      </c>
      <c r="C238" s="23">
        <v>72329.33</v>
      </c>
      <c r="D238" s="23">
        <v>340397.53</v>
      </c>
      <c r="E238" s="23"/>
      <c r="F238" s="23"/>
      <c r="G238" s="23"/>
      <c r="H238" s="229"/>
      <c r="I238" s="23"/>
      <c r="K238" s="23">
        <v>63069.39</v>
      </c>
      <c r="L238" s="23"/>
      <c r="O238" s="229"/>
      <c r="P238" s="229"/>
    </row>
    <row r="239" spans="1:16" ht="16.5">
      <c r="A239" s="118" t="s">
        <v>557</v>
      </c>
      <c r="B239" s="227" t="s">
        <v>778</v>
      </c>
      <c r="C239" s="23">
        <v>605335.01</v>
      </c>
      <c r="D239" s="23">
        <v>3459049.15</v>
      </c>
      <c r="E239" s="23"/>
      <c r="F239" s="23"/>
      <c r="G239" s="23"/>
      <c r="H239" s="229"/>
      <c r="I239" s="23"/>
      <c r="J239" s="23">
        <v>116534.58</v>
      </c>
      <c r="K239" s="23">
        <v>471954.03</v>
      </c>
      <c r="L239" s="23"/>
      <c r="M239" s="229">
        <v>78698.38</v>
      </c>
      <c r="O239" s="229">
        <v>134295.89000000001</v>
      </c>
      <c r="P239" s="229"/>
    </row>
    <row r="240" spans="1:16" ht="16.5">
      <c r="A240" s="118" t="s">
        <v>561</v>
      </c>
      <c r="B240" s="227" t="s">
        <v>780</v>
      </c>
      <c r="C240" s="23">
        <v>923363.15</v>
      </c>
      <c r="D240" s="23">
        <v>5859840.79</v>
      </c>
      <c r="E240" s="23"/>
      <c r="F240" s="23"/>
      <c r="G240" s="23"/>
      <c r="H240" s="229"/>
      <c r="I240" s="23"/>
      <c r="J240" s="23">
        <v>81826.31</v>
      </c>
      <c r="K240" s="23">
        <v>953588.96</v>
      </c>
      <c r="L240" s="23"/>
      <c r="O240" s="229">
        <v>192618.62</v>
      </c>
      <c r="P240" s="229"/>
    </row>
    <row r="241" spans="1:16" ht="16.5">
      <c r="A241" s="118" t="s">
        <v>563</v>
      </c>
      <c r="B241" s="227" t="s">
        <v>781</v>
      </c>
      <c r="C241" s="23">
        <v>2259937.61</v>
      </c>
      <c r="D241" s="23">
        <v>12897468.83</v>
      </c>
      <c r="E241" s="23">
        <v>0.01</v>
      </c>
      <c r="F241" s="23">
        <v>7772.56</v>
      </c>
      <c r="G241" s="23"/>
      <c r="H241" s="229"/>
      <c r="I241" s="23"/>
      <c r="J241" s="23">
        <v>437699.45</v>
      </c>
      <c r="K241" s="23">
        <v>2421726.42</v>
      </c>
      <c r="L241" s="23"/>
      <c r="M241" s="229">
        <v>19404.18</v>
      </c>
      <c r="O241" s="229"/>
      <c r="P241" s="229"/>
    </row>
    <row r="242" spans="1:16" ht="16.5">
      <c r="A242" s="118" t="s">
        <v>565</v>
      </c>
      <c r="B242" s="227" t="s">
        <v>920</v>
      </c>
      <c r="C242" s="23">
        <v>14491.23</v>
      </c>
      <c r="D242" s="23">
        <v>76016.98</v>
      </c>
      <c r="E242" s="23"/>
      <c r="F242" s="23"/>
      <c r="G242" s="23"/>
      <c r="H242" s="229"/>
      <c r="I242" s="23"/>
      <c r="K242" s="23"/>
      <c r="L242" s="23"/>
      <c r="O242" s="229"/>
      <c r="P242" s="229"/>
    </row>
    <row r="243" spans="1:16" ht="16.5">
      <c r="A243" s="118" t="s">
        <v>77</v>
      </c>
      <c r="B243" s="227" t="s">
        <v>782</v>
      </c>
      <c r="C243" s="23">
        <v>9675.77</v>
      </c>
      <c r="D243" s="23">
        <v>49270.63</v>
      </c>
      <c r="E243" s="23"/>
      <c r="F243" s="23"/>
      <c r="G243" s="23"/>
      <c r="H243" s="229"/>
      <c r="I243" s="23"/>
      <c r="K243" s="23">
        <v>11142.51</v>
      </c>
      <c r="L243" s="23"/>
      <c r="O243" s="229"/>
      <c r="P243" s="229"/>
    </row>
    <row r="244" spans="1:16" ht="16.5">
      <c r="A244" s="118" t="s">
        <v>79</v>
      </c>
      <c r="B244" s="227" t="s">
        <v>783</v>
      </c>
      <c r="C244" s="23">
        <v>2380367.58</v>
      </c>
      <c r="D244" s="23">
        <v>13604564.359999999</v>
      </c>
      <c r="E244" s="23"/>
      <c r="F244" s="23"/>
      <c r="G244" s="23"/>
      <c r="H244" s="229"/>
      <c r="I244" s="23"/>
      <c r="J244" s="23">
        <v>4377.22</v>
      </c>
      <c r="K244" s="23">
        <v>1941560</v>
      </c>
      <c r="L244" s="23"/>
      <c r="M244" s="229">
        <v>52446.14</v>
      </c>
      <c r="O244" s="229"/>
      <c r="P244" s="229"/>
    </row>
    <row r="245" spans="1:16" ht="16.5">
      <c r="A245" s="118" t="s">
        <v>81</v>
      </c>
      <c r="B245" s="227" t="s">
        <v>784</v>
      </c>
      <c r="C245" s="23">
        <v>1440005.69</v>
      </c>
      <c r="D245" s="23">
        <v>8400145.6500000004</v>
      </c>
      <c r="E245" s="23"/>
      <c r="F245" s="23"/>
      <c r="G245" s="23"/>
      <c r="H245" s="229"/>
      <c r="I245" s="23"/>
      <c r="K245" s="23">
        <v>1207390.24</v>
      </c>
      <c r="L245" s="23"/>
      <c r="M245" s="229">
        <v>89.96</v>
      </c>
      <c r="O245" s="229"/>
      <c r="P245" s="229"/>
    </row>
    <row r="246" spans="1:16" ht="16.5">
      <c r="A246" s="118" t="s">
        <v>83</v>
      </c>
      <c r="B246" s="227" t="s">
        <v>785</v>
      </c>
      <c r="C246" s="23">
        <v>95276.63</v>
      </c>
      <c r="D246" s="23">
        <v>673802.62</v>
      </c>
      <c r="E246" s="23"/>
      <c r="F246" s="23"/>
      <c r="G246" s="23"/>
      <c r="H246" s="229"/>
      <c r="I246" s="23"/>
      <c r="K246" s="23">
        <v>116220</v>
      </c>
      <c r="L246" s="23"/>
      <c r="O246" s="229"/>
      <c r="P246" s="229"/>
    </row>
    <row r="247" spans="1:16" ht="16.5">
      <c r="A247" s="118" t="s">
        <v>85</v>
      </c>
      <c r="B247" s="227" t="s">
        <v>786</v>
      </c>
      <c r="C247" s="23">
        <v>150446.21</v>
      </c>
      <c r="D247" s="23">
        <v>702295.26</v>
      </c>
      <c r="E247" s="23"/>
      <c r="F247" s="23"/>
      <c r="G247" s="23"/>
      <c r="H247" s="229"/>
      <c r="I247" s="23"/>
      <c r="J247" s="23">
        <v>29248</v>
      </c>
      <c r="K247" s="23">
        <v>120444.58</v>
      </c>
      <c r="L247" s="23"/>
      <c r="O247" s="229"/>
      <c r="P247" s="229"/>
    </row>
    <row r="248" spans="1:16" ht="16.5">
      <c r="A248" s="118" t="s">
        <v>567</v>
      </c>
      <c r="B248" s="227" t="s">
        <v>787</v>
      </c>
      <c r="C248" s="23">
        <v>3109325.98</v>
      </c>
      <c r="D248" s="23">
        <v>14868543.439999999</v>
      </c>
      <c r="E248" s="23"/>
      <c r="F248" s="23"/>
      <c r="G248" s="23"/>
      <c r="H248" s="229">
        <v>869376.24</v>
      </c>
      <c r="I248" s="23"/>
      <c r="J248" s="23">
        <v>495764</v>
      </c>
      <c r="K248" s="23">
        <v>2251488</v>
      </c>
      <c r="L248" s="23"/>
      <c r="O248" s="229"/>
      <c r="P248" s="229"/>
    </row>
    <row r="249" spans="1:16" ht="16.5">
      <c r="A249" s="118" t="s">
        <v>569</v>
      </c>
      <c r="B249" s="227" t="s">
        <v>788</v>
      </c>
      <c r="C249" s="23">
        <v>241723.37</v>
      </c>
      <c r="D249" s="23">
        <v>1704336.88</v>
      </c>
      <c r="E249" s="23"/>
      <c r="F249" s="23"/>
      <c r="G249" s="23"/>
      <c r="H249" s="229"/>
      <c r="I249" s="23"/>
      <c r="K249" s="23">
        <v>327055</v>
      </c>
      <c r="L249" s="23"/>
      <c r="O249" s="229"/>
      <c r="P249" s="229"/>
    </row>
    <row r="250" spans="1:16" ht="16.5">
      <c r="A250" s="118" t="s">
        <v>571</v>
      </c>
      <c r="B250" s="227" t="s">
        <v>789</v>
      </c>
      <c r="C250" s="23">
        <v>25333.06</v>
      </c>
      <c r="D250" s="23">
        <v>246216.08</v>
      </c>
      <c r="E250" s="23"/>
      <c r="F250" s="23"/>
      <c r="G250" s="23"/>
      <c r="H250" s="229"/>
      <c r="I250" s="23"/>
      <c r="K250" s="23">
        <v>23210.39</v>
      </c>
      <c r="L250" s="23"/>
      <c r="O250" s="229"/>
      <c r="P250" s="229"/>
    </row>
    <row r="251" spans="1:16" ht="16.5">
      <c r="A251" s="118" t="s">
        <v>573</v>
      </c>
      <c r="B251" s="227" t="s">
        <v>790</v>
      </c>
      <c r="C251" s="23">
        <v>9971401.9600000009</v>
      </c>
      <c r="D251" s="23">
        <v>38177576.030000001</v>
      </c>
      <c r="E251" s="23"/>
      <c r="F251" s="23">
        <v>164600.17000000001</v>
      </c>
      <c r="G251" s="23"/>
      <c r="H251" s="229"/>
      <c r="I251" s="23"/>
      <c r="J251" s="23">
        <v>1647170.47</v>
      </c>
      <c r="K251" s="23">
        <v>6683277.2599999998</v>
      </c>
      <c r="L251" s="23"/>
      <c r="M251" s="229">
        <v>580169.59</v>
      </c>
      <c r="O251" s="229">
        <v>213080</v>
      </c>
      <c r="P251" s="229"/>
    </row>
    <row r="252" spans="1:16" ht="16.5">
      <c r="A252" s="118" t="s">
        <v>937</v>
      </c>
      <c r="B252" s="227" t="s">
        <v>1798</v>
      </c>
      <c r="C252" s="23">
        <v>67652.83</v>
      </c>
      <c r="D252" s="23">
        <v>871099.68</v>
      </c>
      <c r="E252" s="23"/>
      <c r="F252" s="23"/>
      <c r="G252" s="23"/>
      <c r="H252" s="229"/>
      <c r="I252" s="23"/>
      <c r="K252" s="23">
        <v>68797.2</v>
      </c>
      <c r="L252" s="23"/>
      <c r="O252" s="229"/>
      <c r="P252" s="229"/>
    </row>
    <row r="253" spans="1:16" ht="16.5">
      <c r="A253" s="118" t="s">
        <v>541</v>
      </c>
      <c r="B253" s="227" t="s">
        <v>791</v>
      </c>
      <c r="C253" s="23">
        <v>12836.63</v>
      </c>
      <c r="D253" s="23">
        <v>89591.75</v>
      </c>
      <c r="E253" s="23"/>
      <c r="F253" s="23"/>
      <c r="G253" s="23"/>
      <c r="H253" s="229"/>
      <c r="I253" s="23"/>
      <c r="J253" s="23">
        <v>3671</v>
      </c>
      <c r="K253" s="23">
        <v>19540</v>
      </c>
      <c r="L253" s="23"/>
      <c r="O253" s="229"/>
      <c r="P253" s="229"/>
    </row>
    <row r="254" spans="1:16" ht="16.5">
      <c r="A254" s="118" t="s">
        <v>543</v>
      </c>
      <c r="B254" s="227" t="s">
        <v>854</v>
      </c>
      <c r="C254" s="23">
        <v>25181.48</v>
      </c>
      <c r="D254" s="23">
        <v>145688.85999999999</v>
      </c>
      <c r="E254" s="23"/>
      <c r="F254" s="23"/>
      <c r="G254" s="23"/>
      <c r="H254" s="229"/>
      <c r="I254" s="23"/>
      <c r="J254" s="23">
        <v>7195</v>
      </c>
      <c r="K254" s="23">
        <v>32267</v>
      </c>
      <c r="L254" s="23"/>
      <c r="O254" s="229"/>
      <c r="P254" s="229"/>
    </row>
    <row r="255" spans="1:16" ht="16.5">
      <c r="A255" s="118" t="s">
        <v>57</v>
      </c>
      <c r="B255" s="227" t="s">
        <v>1797</v>
      </c>
      <c r="C255" s="23">
        <v>1516604.76</v>
      </c>
      <c r="D255" s="23">
        <v>7607295.21</v>
      </c>
      <c r="E255" s="23"/>
      <c r="F255" s="23"/>
      <c r="G255" s="23"/>
      <c r="H255" s="229"/>
      <c r="I255" s="23"/>
      <c r="J255" s="23">
        <v>215355.05</v>
      </c>
      <c r="K255" s="23">
        <v>1022687.62</v>
      </c>
      <c r="L255" s="23"/>
      <c r="O255" s="229"/>
      <c r="P255" s="229"/>
    </row>
    <row r="256" spans="1:16" ht="16.5">
      <c r="A256" s="118" t="s">
        <v>61</v>
      </c>
      <c r="B256" s="227" t="s">
        <v>794</v>
      </c>
      <c r="C256" s="23">
        <v>18683.97</v>
      </c>
      <c r="D256" s="23">
        <v>279667.46000000002</v>
      </c>
      <c r="E256" s="23"/>
      <c r="F256" s="23"/>
      <c r="G256" s="23"/>
      <c r="H256" s="229"/>
      <c r="I256" s="23"/>
      <c r="K256" s="23">
        <v>6599</v>
      </c>
      <c r="L256" s="23"/>
      <c r="O256" s="229"/>
      <c r="P256" s="229"/>
    </row>
    <row r="257" spans="1:16" ht="16.5">
      <c r="A257" s="118" t="s">
        <v>65</v>
      </c>
      <c r="B257" s="227" t="s">
        <v>855</v>
      </c>
      <c r="C257" s="23">
        <v>874501.15</v>
      </c>
      <c r="D257" s="23">
        <v>3956291.85</v>
      </c>
      <c r="E257" s="23"/>
      <c r="F257" s="23">
        <v>12.26</v>
      </c>
      <c r="G257" s="23"/>
      <c r="H257" s="229">
        <v>44273</v>
      </c>
      <c r="I257" s="23"/>
      <c r="J257" s="23">
        <v>81191.009999999995</v>
      </c>
      <c r="K257" s="23">
        <v>537864</v>
      </c>
      <c r="L257" s="23"/>
      <c r="M257" s="229">
        <v>39.340000000000003</v>
      </c>
      <c r="O257" s="229"/>
      <c r="P257" s="229"/>
    </row>
    <row r="258" spans="1:16" ht="16.5">
      <c r="A258" s="118" t="s">
        <v>66</v>
      </c>
      <c r="B258" s="227" t="s">
        <v>796</v>
      </c>
      <c r="C258" s="23">
        <v>3801.01</v>
      </c>
      <c r="D258" s="23">
        <v>57849.45</v>
      </c>
      <c r="E258" s="23"/>
      <c r="F258" s="23"/>
      <c r="G258" s="23"/>
      <c r="H258" s="229"/>
      <c r="I258" s="23"/>
      <c r="K258" s="23">
        <v>10769</v>
      </c>
      <c r="L258" s="23"/>
      <c r="O258" s="229"/>
      <c r="P258" s="229"/>
    </row>
    <row r="259" spans="1:16" ht="16.5">
      <c r="A259" s="118" t="s">
        <v>5</v>
      </c>
      <c r="B259" s="227" t="s">
        <v>922</v>
      </c>
      <c r="C259" s="23">
        <v>216679.23</v>
      </c>
      <c r="D259" s="23">
        <v>1133797.19</v>
      </c>
      <c r="E259" s="23"/>
      <c r="F259" s="23"/>
      <c r="G259" s="23"/>
      <c r="H259" s="229"/>
      <c r="I259" s="23"/>
      <c r="K259" s="23"/>
      <c r="L259" s="23"/>
      <c r="O259" s="229"/>
      <c r="P259" s="229"/>
    </row>
    <row r="260" spans="1:16" ht="16.5">
      <c r="A260" s="118" t="s">
        <v>7</v>
      </c>
      <c r="B260" s="227" t="s">
        <v>797</v>
      </c>
      <c r="C260" s="23">
        <v>844962.54</v>
      </c>
      <c r="D260" s="23">
        <v>2863021.55</v>
      </c>
      <c r="E260" s="23"/>
      <c r="F260" s="23"/>
      <c r="G260" s="23"/>
      <c r="H260" s="229"/>
      <c r="I260" s="23"/>
      <c r="K260" s="23">
        <v>414164.1</v>
      </c>
      <c r="L260" s="23"/>
      <c r="O260" s="229"/>
      <c r="P260" s="229"/>
    </row>
    <row r="261" spans="1:16" ht="16.5">
      <c r="A261" s="118" t="s">
        <v>954</v>
      </c>
      <c r="B261" s="227" t="s">
        <v>1524</v>
      </c>
      <c r="C261" s="23">
        <v>76438.73</v>
      </c>
      <c r="D261" s="23">
        <v>674761.41</v>
      </c>
      <c r="E261" s="23"/>
      <c r="F261" s="23"/>
      <c r="G261" s="23"/>
      <c r="H261" s="229"/>
      <c r="I261" s="23"/>
      <c r="J261" s="23">
        <v>23201</v>
      </c>
      <c r="K261" s="23">
        <v>167441</v>
      </c>
      <c r="L261" s="23"/>
      <c r="O261" s="229"/>
      <c r="P261" s="229"/>
    </row>
    <row r="262" spans="1:16" ht="16.5">
      <c r="A262" s="118" t="s">
        <v>934</v>
      </c>
      <c r="B262" s="227" t="s">
        <v>1525</v>
      </c>
      <c r="C262" s="23">
        <v>31691.66</v>
      </c>
      <c r="D262" s="23">
        <v>217678.52</v>
      </c>
      <c r="E262" s="23"/>
      <c r="F262" s="23"/>
      <c r="G262" s="23"/>
      <c r="H262" s="229"/>
      <c r="I262" s="23"/>
      <c r="J262" s="23">
        <v>9657</v>
      </c>
      <c r="K262" s="23">
        <v>43064</v>
      </c>
      <c r="L262" s="23"/>
      <c r="O262" s="229"/>
      <c r="P262" s="229"/>
    </row>
    <row r="263" spans="1:16" ht="16.5">
      <c r="A263" s="118" t="s">
        <v>933</v>
      </c>
      <c r="B263" s="227" t="s">
        <v>1526</v>
      </c>
      <c r="C263" s="23">
        <v>57469</v>
      </c>
      <c r="D263" s="23">
        <v>391407.19</v>
      </c>
      <c r="E263" s="23"/>
      <c r="F263" s="23"/>
      <c r="G263" s="23"/>
      <c r="H263" s="229"/>
      <c r="I263" s="23"/>
      <c r="J263" s="23">
        <v>16795</v>
      </c>
      <c r="K263" s="23">
        <v>61840</v>
      </c>
      <c r="L263" s="23"/>
      <c r="O263" s="229"/>
      <c r="P263" s="229"/>
    </row>
    <row r="264" spans="1:16" ht="16.5">
      <c r="A264" s="118" t="s">
        <v>9</v>
      </c>
      <c r="B264" s="227" t="s">
        <v>798</v>
      </c>
      <c r="C264" s="23">
        <v>13680.5</v>
      </c>
      <c r="D264" s="23">
        <v>81734.94</v>
      </c>
      <c r="E264" s="23"/>
      <c r="F264" s="23"/>
      <c r="G264" s="23"/>
      <c r="H264" s="229"/>
      <c r="I264" s="23"/>
      <c r="K264" s="23">
        <v>13335</v>
      </c>
      <c r="L264" s="23"/>
      <c r="O264" s="229"/>
      <c r="P264" s="229"/>
    </row>
    <row r="265" spans="1:16" ht="16.5">
      <c r="A265" s="118" t="s">
        <v>246</v>
      </c>
      <c r="B265" s="227" t="s">
        <v>799</v>
      </c>
      <c r="C265" s="23">
        <v>2700480.48</v>
      </c>
      <c r="D265" s="23">
        <v>13060996.01</v>
      </c>
      <c r="E265" s="23"/>
      <c r="F265" s="23"/>
      <c r="G265" s="23"/>
      <c r="H265" s="229"/>
      <c r="I265" s="23"/>
      <c r="J265" s="23">
        <v>292263</v>
      </c>
      <c r="K265" s="23">
        <v>1802452.01</v>
      </c>
      <c r="L265" s="23"/>
      <c r="M265" s="229">
        <v>55468.36</v>
      </c>
      <c r="O265" s="229">
        <v>104175.6</v>
      </c>
      <c r="P265" s="229"/>
    </row>
    <row r="266" spans="1:16" ht="16.5">
      <c r="A266" s="118" t="s">
        <v>248</v>
      </c>
      <c r="B266" s="227" t="s">
        <v>800</v>
      </c>
      <c r="C266" s="23">
        <v>2209663.83</v>
      </c>
      <c r="D266" s="23">
        <v>7961574.8799999999</v>
      </c>
      <c r="E266" s="23"/>
      <c r="F266" s="23"/>
      <c r="G266" s="23"/>
      <c r="H266" s="229"/>
      <c r="I266" s="23"/>
      <c r="J266" s="23">
        <v>56255.57</v>
      </c>
      <c r="K266" s="23">
        <v>1350138.83</v>
      </c>
      <c r="L266" s="23"/>
      <c r="O266" s="229">
        <v>146280.15</v>
      </c>
      <c r="P266" s="229"/>
    </row>
    <row r="267" spans="1:16" ht="16.5">
      <c r="A267" s="118" t="s">
        <v>881</v>
      </c>
      <c r="B267" s="227" t="s">
        <v>1788</v>
      </c>
      <c r="C267" s="23">
        <v>26994.34</v>
      </c>
      <c r="D267" s="23">
        <v>102942.14</v>
      </c>
      <c r="E267" s="23"/>
      <c r="F267" s="23"/>
      <c r="G267" s="23"/>
      <c r="H267" s="229"/>
      <c r="I267" s="23"/>
      <c r="J267" s="23">
        <v>3072.03</v>
      </c>
      <c r="K267" s="23">
        <v>60695</v>
      </c>
      <c r="L267" s="23"/>
      <c r="O267" s="229"/>
      <c r="P267" s="229"/>
    </row>
    <row r="268" spans="1:16" ht="16.5">
      <c r="A268" s="118" t="s">
        <v>250</v>
      </c>
      <c r="B268" s="227" t="s">
        <v>801</v>
      </c>
      <c r="C268" s="23">
        <v>9086738.4299999997</v>
      </c>
      <c r="D268" s="23">
        <v>42049434.159999996</v>
      </c>
      <c r="E268" s="23"/>
      <c r="F268" s="23"/>
      <c r="G268" s="23"/>
      <c r="H268" s="229"/>
      <c r="I268" s="23"/>
      <c r="J268" s="23">
        <v>168414.72</v>
      </c>
      <c r="K268" s="23">
        <v>7503175.1500000004</v>
      </c>
      <c r="L268" s="23"/>
      <c r="M268" s="229">
        <v>301133.11</v>
      </c>
      <c r="O268" s="229">
        <v>2165606.7599999998</v>
      </c>
      <c r="P268" s="229"/>
    </row>
    <row r="269" spans="1:16" ht="16.5">
      <c r="A269" s="118" t="s">
        <v>252</v>
      </c>
      <c r="B269" s="227" t="s">
        <v>802</v>
      </c>
      <c r="C269" s="23">
        <v>44327.3</v>
      </c>
      <c r="D269" s="23">
        <v>195310.81</v>
      </c>
      <c r="E269" s="23"/>
      <c r="F269" s="23"/>
      <c r="G269" s="23"/>
      <c r="H269" s="229">
        <v>34435</v>
      </c>
      <c r="I269" s="23"/>
      <c r="K269" s="23">
        <v>46189</v>
      </c>
      <c r="L269" s="23"/>
      <c r="O269" s="229"/>
      <c r="P269" s="229"/>
    </row>
    <row r="270" spans="1:16" ht="16.5">
      <c r="A270" s="118" t="s">
        <v>254</v>
      </c>
      <c r="B270" s="227" t="s">
        <v>803</v>
      </c>
      <c r="C270" s="23">
        <v>2468948.83</v>
      </c>
      <c r="D270" s="23">
        <v>13831106.560000001</v>
      </c>
      <c r="E270" s="23"/>
      <c r="F270" s="23">
        <v>4882.47</v>
      </c>
      <c r="G270" s="23"/>
      <c r="H270" s="229"/>
      <c r="I270" s="23"/>
      <c r="K270" s="23">
        <v>1763699.28</v>
      </c>
      <c r="L270" s="23"/>
      <c r="M270" s="229">
        <v>15661.77</v>
      </c>
      <c r="O270" s="229"/>
      <c r="P270" s="229"/>
    </row>
    <row r="271" spans="1:16" ht="16.5">
      <c r="A271" s="118" t="s">
        <v>256</v>
      </c>
      <c r="B271" s="227" t="s">
        <v>804</v>
      </c>
      <c r="C271" s="23">
        <v>64428.78</v>
      </c>
      <c r="D271" s="23">
        <v>245834.33</v>
      </c>
      <c r="E271" s="23"/>
      <c r="F271" s="23"/>
      <c r="G271" s="23"/>
      <c r="H271" s="229"/>
      <c r="I271" s="23"/>
      <c r="J271" s="23">
        <v>10047</v>
      </c>
      <c r="K271" s="23">
        <v>36407</v>
      </c>
      <c r="L271" s="23"/>
      <c r="M271" s="229">
        <v>2984.36</v>
      </c>
      <c r="O271" s="229"/>
      <c r="P271" s="229"/>
    </row>
    <row r="272" spans="1:16" ht="16.5">
      <c r="A272" s="118" t="s">
        <v>258</v>
      </c>
      <c r="B272" s="227" t="s">
        <v>805</v>
      </c>
      <c r="C272" s="23">
        <v>436893.08</v>
      </c>
      <c r="D272" s="23">
        <v>1566220.5</v>
      </c>
      <c r="E272" s="23"/>
      <c r="F272" s="23"/>
      <c r="G272" s="23"/>
      <c r="H272" s="229"/>
      <c r="I272" s="23"/>
      <c r="K272" s="23">
        <v>292411.61</v>
      </c>
      <c r="L272" s="23"/>
      <c r="M272" s="229">
        <v>37528.97</v>
      </c>
      <c r="O272" s="229"/>
      <c r="P272" s="229"/>
    </row>
    <row r="273" spans="1:16" ht="16.5">
      <c r="A273" s="118" t="s">
        <v>260</v>
      </c>
      <c r="B273" s="227" t="s">
        <v>806</v>
      </c>
      <c r="C273" s="23">
        <v>32710.81</v>
      </c>
      <c r="D273" s="23">
        <v>294446.90999999997</v>
      </c>
      <c r="E273" s="23"/>
      <c r="F273" s="23"/>
      <c r="G273" s="23"/>
      <c r="H273" s="229"/>
      <c r="I273" s="23">
        <v>3399.16</v>
      </c>
      <c r="J273" s="23">
        <v>11175</v>
      </c>
      <c r="K273" s="23">
        <v>46152</v>
      </c>
      <c r="L273" s="23"/>
      <c r="O273" s="229"/>
      <c r="P273" s="229"/>
    </row>
    <row r="274" spans="1:16" ht="16.5">
      <c r="A274" s="118" t="s">
        <v>262</v>
      </c>
      <c r="B274" s="227" t="s">
        <v>807</v>
      </c>
      <c r="C274" s="23">
        <v>329507.83</v>
      </c>
      <c r="D274" s="23">
        <v>1024069.16</v>
      </c>
      <c r="E274" s="23"/>
      <c r="F274" s="23">
        <v>1643.2</v>
      </c>
      <c r="G274" s="23"/>
      <c r="H274" s="229"/>
      <c r="I274" s="23"/>
      <c r="K274" s="23">
        <v>232406</v>
      </c>
      <c r="L274" s="23"/>
      <c r="M274" s="229">
        <v>14294.72</v>
      </c>
      <c r="O274" s="229">
        <v>653003.17000000004</v>
      </c>
      <c r="P274" s="229"/>
    </row>
    <row r="275" spans="1:16" ht="16.5">
      <c r="A275" s="118" t="s">
        <v>264</v>
      </c>
      <c r="B275" s="227" t="s">
        <v>808</v>
      </c>
      <c r="C275" s="23">
        <v>210020.03</v>
      </c>
      <c r="D275" s="23">
        <v>1145053.17</v>
      </c>
      <c r="E275" s="23"/>
      <c r="F275" s="23"/>
      <c r="G275" s="23"/>
      <c r="H275" s="229"/>
      <c r="I275" s="23">
        <v>53944.49</v>
      </c>
      <c r="J275" s="23">
        <v>4841</v>
      </c>
      <c r="K275" s="23">
        <v>258666.32</v>
      </c>
      <c r="L275" s="23"/>
      <c r="M275" s="229">
        <v>510.4</v>
      </c>
      <c r="O275" s="229">
        <v>12197.88</v>
      </c>
      <c r="P275" s="229"/>
    </row>
    <row r="276" spans="1:16" ht="16.5">
      <c r="A276" s="118" t="s">
        <v>266</v>
      </c>
      <c r="B276" s="227" t="s">
        <v>809</v>
      </c>
      <c r="C276" s="23">
        <v>593869.16</v>
      </c>
      <c r="D276" s="23">
        <v>4855555.91</v>
      </c>
      <c r="E276" s="23"/>
      <c r="F276" s="23"/>
      <c r="G276" s="23"/>
      <c r="H276" s="229">
        <v>81660</v>
      </c>
      <c r="I276" s="23"/>
      <c r="J276" s="23">
        <v>256257</v>
      </c>
      <c r="K276" s="23">
        <v>841655.08</v>
      </c>
      <c r="L276" s="23"/>
      <c r="O276" s="229"/>
      <c r="P276" s="229"/>
    </row>
    <row r="277" spans="1:16" ht="16.5">
      <c r="A277" s="118" t="s">
        <v>268</v>
      </c>
      <c r="B277" s="227" t="s">
        <v>810</v>
      </c>
      <c r="C277" s="23">
        <v>17130.080000000002</v>
      </c>
      <c r="D277" s="23">
        <v>211247.46</v>
      </c>
      <c r="E277" s="23"/>
      <c r="F277" s="23"/>
      <c r="G277" s="23"/>
      <c r="H277" s="229"/>
      <c r="I277" s="23"/>
      <c r="K277" s="23">
        <v>142.97</v>
      </c>
      <c r="L277" s="23"/>
      <c r="O277" s="229"/>
      <c r="P277" s="229"/>
    </row>
    <row r="278" spans="1:16" ht="16.5">
      <c r="A278" s="118" t="s">
        <v>185</v>
      </c>
      <c r="B278" s="227" t="s">
        <v>925</v>
      </c>
      <c r="C278" s="23">
        <v>173088.73</v>
      </c>
      <c r="D278" s="23">
        <v>838717.19</v>
      </c>
      <c r="E278" s="23"/>
      <c r="F278" s="23"/>
      <c r="G278" s="23"/>
      <c r="H278" s="229"/>
      <c r="I278" s="23"/>
      <c r="K278" s="23"/>
      <c r="L278" s="23"/>
      <c r="O278" s="229"/>
      <c r="P278" s="229"/>
    </row>
    <row r="279" spans="1:16" ht="16.5">
      <c r="A279" s="118" t="s">
        <v>187</v>
      </c>
      <c r="B279" s="227" t="s">
        <v>926</v>
      </c>
      <c r="C279" s="23">
        <v>27503.8</v>
      </c>
      <c r="D279" s="23">
        <v>147331.97</v>
      </c>
      <c r="E279" s="23"/>
      <c r="F279" s="23"/>
      <c r="G279" s="23"/>
      <c r="H279" s="229"/>
      <c r="I279" s="23"/>
      <c r="K279" s="23"/>
      <c r="L279" s="23"/>
      <c r="O279" s="229"/>
      <c r="P279" s="229"/>
    </row>
    <row r="280" spans="1:16" ht="16.5">
      <c r="A280" s="118" t="s">
        <v>566</v>
      </c>
      <c r="B280" s="227" t="s">
        <v>811</v>
      </c>
      <c r="C280" s="23">
        <v>679981.18</v>
      </c>
      <c r="D280" s="23">
        <v>3767522.93</v>
      </c>
      <c r="E280" s="23"/>
      <c r="F280" s="23"/>
      <c r="G280" s="23"/>
      <c r="H280" s="229"/>
      <c r="I280" s="23"/>
      <c r="K280" s="23">
        <v>611372.09</v>
      </c>
      <c r="L280" s="23"/>
      <c r="O280" s="229"/>
      <c r="P280" s="229"/>
    </row>
    <row r="281" spans="1:16" ht="16.5">
      <c r="A281" s="118" t="s">
        <v>189</v>
      </c>
      <c r="B281" s="227" t="s">
        <v>812</v>
      </c>
      <c r="C281" s="23">
        <v>1843788.07</v>
      </c>
      <c r="D281" s="23">
        <v>8431708.1999999993</v>
      </c>
      <c r="E281" s="23"/>
      <c r="F281" s="23"/>
      <c r="G281" s="23"/>
      <c r="H281" s="229"/>
      <c r="I281" s="23"/>
      <c r="J281" s="23">
        <v>301457</v>
      </c>
      <c r="K281" s="23">
        <v>1336754</v>
      </c>
      <c r="L281" s="23"/>
      <c r="O281" s="229"/>
      <c r="P281" s="229"/>
    </row>
    <row r="282" spans="1:16" ht="16.5">
      <c r="A282" s="118" t="s">
        <v>191</v>
      </c>
      <c r="B282" s="227" t="s">
        <v>813</v>
      </c>
      <c r="C282" s="23">
        <v>112256</v>
      </c>
      <c r="D282" s="23">
        <v>700577.41</v>
      </c>
      <c r="E282" s="23"/>
      <c r="F282" s="23"/>
      <c r="G282" s="23"/>
      <c r="H282" s="229"/>
      <c r="I282" s="23"/>
      <c r="J282" s="23">
        <v>30593</v>
      </c>
      <c r="K282" s="23">
        <v>143016.54</v>
      </c>
      <c r="L282" s="23"/>
      <c r="M282" s="229">
        <v>31700.22</v>
      </c>
      <c r="O282" s="229"/>
      <c r="P282" s="229"/>
    </row>
    <row r="283" spans="1:16" ht="16.5">
      <c r="A283" s="118" t="s">
        <v>193</v>
      </c>
      <c r="B283" s="227" t="s">
        <v>814</v>
      </c>
      <c r="C283" s="23">
        <v>1430950.52</v>
      </c>
      <c r="D283" s="23">
        <v>5874431.9800000004</v>
      </c>
      <c r="E283" s="23"/>
      <c r="F283" s="23">
        <v>24997.35</v>
      </c>
      <c r="G283" s="23"/>
      <c r="H283" s="229">
        <v>13774</v>
      </c>
      <c r="I283" s="23"/>
      <c r="J283" s="23">
        <v>303580</v>
      </c>
      <c r="K283" s="23">
        <v>1170703</v>
      </c>
      <c r="L283" s="23"/>
      <c r="M283" s="229">
        <v>52315.31</v>
      </c>
      <c r="O283" s="229">
        <v>22891.52</v>
      </c>
      <c r="P283" s="229"/>
    </row>
    <row r="284" spans="1:16" ht="16.5">
      <c r="A284" s="118" t="s">
        <v>278</v>
      </c>
      <c r="B284" s="227" t="s">
        <v>856</v>
      </c>
      <c r="C284" s="23">
        <v>120990.64</v>
      </c>
      <c r="D284" s="23">
        <v>947752.87</v>
      </c>
      <c r="E284" s="23"/>
      <c r="F284" s="23"/>
      <c r="G284" s="23"/>
      <c r="H284" s="229"/>
      <c r="I284" s="23"/>
      <c r="K284" s="23">
        <v>186233</v>
      </c>
      <c r="L284" s="23"/>
      <c r="O284" s="229"/>
      <c r="P284" s="229"/>
    </row>
    <row r="285" spans="1:16" ht="16.5">
      <c r="A285" s="118" t="s">
        <v>280</v>
      </c>
      <c r="B285" s="227" t="s">
        <v>815</v>
      </c>
      <c r="C285" s="23">
        <v>7244463.96</v>
      </c>
      <c r="D285" s="23">
        <v>30235463.859999999</v>
      </c>
      <c r="E285" s="23"/>
      <c r="F285" s="23"/>
      <c r="G285" s="23"/>
      <c r="H285" s="229"/>
      <c r="I285" s="23"/>
      <c r="J285" s="23">
        <v>1171168</v>
      </c>
      <c r="K285" s="23">
        <v>4822330</v>
      </c>
      <c r="L285" s="23"/>
      <c r="M285" s="229">
        <v>382538.78</v>
      </c>
      <c r="O285" s="229">
        <v>1097812.5</v>
      </c>
      <c r="P285" s="229"/>
    </row>
    <row r="286" spans="1:16" ht="16.5">
      <c r="A286" s="118" t="s">
        <v>501</v>
      </c>
      <c r="B286" s="227" t="s">
        <v>816</v>
      </c>
      <c r="C286" s="23">
        <v>263198.01</v>
      </c>
      <c r="D286" s="23">
        <v>1778341.74</v>
      </c>
      <c r="E286" s="23"/>
      <c r="F286" s="23">
        <v>4000</v>
      </c>
      <c r="G286" s="23"/>
      <c r="H286" s="229"/>
      <c r="I286" s="23"/>
      <c r="J286" s="23">
        <v>15658.38</v>
      </c>
      <c r="K286" s="23">
        <v>313463</v>
      </c>
      <c r="L286" s="23"/>
      <c r="M286" s="229">
        <v>13840</v>
      </c>
      <c r="O286" s="229"/>
      <c r="P286" s="229"/>
    </row>
    <row r="287" spans="1:16" ht="16.5">
      <c r="A287" s="118" t="s">
        <v>957</v>
      </c>
      <c r="B287" s="227" t="s">
        <v>1801</v>
      </c>
      <c r="C287" s="23">
        <v>9748.14</v>
      </c>
      <c r="D287" s="23">
        <v>50063.83</v>
      </c>
      <c r="E287" s="23"/>
      <c r="F287" s="23"/>
      <c r="G287" s="23"/>
      <c r="H287" s="229"/>
      <c r="I287" s="23"/>
      <c r="K287" s="23"/>
      <c r="L287" s="23"/>
      <c r="O287" s="229"/>
      <c r="P287" s="229"/>
    </row>
    <row r="288" spans="1:16" ht="16.5">
      <c r="A288" s="118" t="s">
        <v>503</v>
      </c>
      <c r="B288" s="227" t="s">
        <v>927</v>
      </c>
      <c r="C288" s="23">
        <v>119659.41</v>
      </c>
      <c r="D288" s="23">
        <v>612559.25</v>
      </c>
      <c r="E288" s="23"/>
      <c r="F288" s="23"/>
      <c r="G288" s="23"/>
      <c r="H288" s="229"/>
      <c r="I288" s="23"/>
      <c r="K288" s="23"/>
      <c r="L288" s="23"/>
      <c r="O288" s="229"/>
      <c r="P288" s="229"/>
    </row>
    <row r="289" spans="1:16" ht="16.5">
      <c r="A289" s="118" t="s">
        <v>505</v>
      </c>
      <c r="B289" s="227" t="s">
        <v>817</v>
      </c>
      <c r="C289" s="23">
        <v>589959.06000000006</v>
      </c>
      <c r="D289" s="23">
        <v>2708169.5</v>
      </c>
      <c r="E289" s="23"/>
      <c r="F289" s="23"/>
      <c r="G289" s="23"/>
      <c r="H289" s="229"/>
      <c r="I289" s="23"/>
      <c r="J289" s="23">
        <v>50814.19</v>
      </c>
      <c r="K289" s="23">
        <v>317804.74</v>
      </c>
      <c r="L289" s="23"/>
      <c r="O289" s="229"/>
      <c r="P289" s="229"/>
    </row>
    <row r="290" spans="1:16" ht="16.5">
      <c r="A290" s="118" t="s">
        <v>507</v>
      </c>
      <c r="B290" s="227" t="s">
        <v>818</v>
      </c>
      <c r="C290" s="23">
        <v>16102.45</v>
      </c>
      <c r="D290" s="23">
        <v>226974.16</v>
      </c>
      <c r="E290" s="23"/>
      <c r="F290" s="23"/>
      <c r="G290" s="23"/>
      <c r="H290" s="229"/>
      <c r="I290" s="23"/>
      <c r="K290" s="23">
        <v>135155</v>
      </c>
      <c r="L290" s="23"/>
      <c r="O290" s="229"/>
      <c r="P290" s="229"/>
    </row>
    <row r="291" spans="1:16" ht="16.5">
      <c r="A291" s="118" t="s">
        <v>509</v>
      </c>
      <c r="B291" s="227" t="s">
        <v>819</v>
      </c>
      <c r="C291" s="23">
        <v>1645685.14</v>
      </c>
      <c r="D291" s="23">
        <v>6967155.8499999996</v>
      </c>
      <c r="E291" s="23"/>
      <c r="F291" s="23"/>
      <c r="G291" s="23"/>
      <c r="H291" s="229"/>
      <c r="I291" s="23"/>
      <c r="J291" s="23">
        <v>295389</v>
      </c>
      <c r="K291" s="23">
        <v>1223693</v>
      </c>
      <c r="L291" s="23"/>
      <c r="M291" s="229">
        <v>101777.51</v>
      </c>
      <c r="O291" s="229">
        <v>9499.56</v>
      </c>
      <c r="P291" s="229"/>
    </row>
    <row r="292" spans="1:16" ht="16.5">
      <c r="A292" s="118" t="s">
        <v>511</v>
      </c>
      <c r="B292" s="227" t="s">
        <v>820</v>
      </c>
      <c r="C292" s="23">
        <v>662281.49</v>
      </c>
      <c r="D292" s="23">
        <v>3553346.44</v>
      </c>
      <c r="E292" s="23"/>
      <c r="F292" s="23"/>
      <c r="G292" s="23"/>
      <c r="H292" s="229">
        <v>136755</v>
      </c>
      <c r="I292" s="23"/>
      <c r="J292" s="23">
        <v>30422.25</v>
      </c>
      <c r="K292" s="23">
        <v>904220.09</v>
      </c>
      <c r="L292" s="23"/>
      <c r="O292" s="229"/>
      <c r="P292" s="229"/>
    </row>
    <row r="293" spans="1:16" ht="16.5">
      <c r="A293" s="118" t="s">
        <v>32</v>
      </c>
      <c r="B293" s="227" t="s">
        <v>821</v>
      </c>
      <c r="C293" s="23">
        <v>252973.2</v>
      </c>
      <c r="D293" s="23">
        <v>1107721.93</v>
      </c>
      <c r="E293" s="23"/>
      <c r="F293" s="23"/>
      <c r="G293" s="23"/>
      <c r="H293" s="229"/>
      <c r="I293" s="23"/>
      <c r="J293" s="23">
        <v>26996.68</v>
      </c>
      <c r="K293" s="23">
        <v>226977.93</v>
      </c>
      <c r="L293" s="23"/>
      <c r="M293" s="229">
        <v>24454.1</v>
      </c>
      <c r="O293" s="229"/>
      <c r="P293" s="229"/>
    </row>
    <row r="294" spans="1:16" ht="16.5">
      <c r="A294" s="118" t="s">
        <v>34</v>
      </c>
      <c r="B294" s="227" t="s">
        <v>822</v>
      </c>
      <c r="C294" s="23">
        <v>733301.35</v>
      </c>
      <c r="D294" s="23">
        <v>4721833.22</v>
      </c>
      <c r="E294" s="23"/>
      <c r="F294" s="23">
        <v>13769.79</v>
      </c>
      <c r="G294" s="23"/>
      <c r="H294" s="229"/>
      <c r="I294" s="23"/>
      <c r="K294" s="23">
        <v>708007.96</v>
      </c>
      <c r="L294" s="23"/>
      <c r="M294" s="229">
        <v>49572.11</v>
      </c>
      <c r="O294" s="229"/>
      <c r="P294" s="229"/>
    </row>
    <row r="295" spans="1:16" ht="16.5">
      <c r="A295" s="118" t="s">
        <v>36</v>
      </c>
      <c r="B295" s="227" t="s">
        <v>823</v>
      </c>
      <c r="C295" s="23">
        <v>5702.41</v>
      </c>
      <c r="D295" s="23">
        <v>80733.31</v>
      </c>
      <c r="E295" s="23"/>
      <c r="F295" s="23"/>
      <c r="G295" s="23"/>
      <c r="H295" s="229"/>
      <c r="I295" s="23"/>
      <c r="K295" s="23">
        <v>31055</v>
      </c>
      <c r="L295" s="23"/>
      <c r="O295" s="229"/>
      <c r="P295" s="229"/>
    </row>
    <row r="296" spans="1:16" ht="16.5">
      <c r="A296" s="118" t="s">
        <v>520</v>
      </c>
      <c r="B296" s="227" t="s">
        <v>928</v>
      </c>
      <c r="C296" s="23">
        <v>68339.490000000005</v>
      </c>
      <c r="D296" s="23">
        <v>346002.71</v>
      </c>
      <c r="E296" s="23"/>
      <c r="F296" s="23"/>
      <c r="G296" s="23"/>
      <c r="H296" s="229"/>
      <c r="I296" s="23"/>
      <c r="K296" s="23"/>
      <c r="L296" s="23"/>
      <c r="O296" s="229"/>
      <c r="P296" s="229"/>
    </row>
    <row r="297" spans="1:16" ht="16.5">
      <c r="A297" s="118" t="s">
        <v>522</v>
      </c>
      <c r="B297" s="227" t="s">
        <v>824</v>
      </c>
      <c r="C297" s="23">
        <v>61417.34</v>
      </c>
      <c r="D297" s="23">
        <v>503281.96</v>
      </c>
      <c r="E297" s="23"/>
      <c r="F297" s="23"/>
      <c r="G297" s="23"/>
      <c r="H297" s="229">
        <v>35559</v>
      </c>
      <c r="I297" s="23"/>
      <c r="K297" s="23">
        <v>98517.57</v>
      </c>
      <c r="L297" s="23"/>
      <c r="O297" s="229"/>
      <c r="P297" s="229"/>
    </row>
    <row r="298" spans="1:16" ht="16.5">
      <c r="A298" s="118" t="s">
        <v>485</v>
      </c>
      <c r="B298" s="227" t="s">
        <v>825</v>
      </c>
      <c r="C298" s="23">
        <v>1668524.29</v>
      </c>
      <c r="D298" s="23">
        <v>9605701.9499999993</v>
      </c>
      <c r="E298" s="23"/>
      <c r="F298" s="23"/>
      <c r="G298" s="23"/>
      <c r="H298" s="229"/>
      <c r="I298" s="23"/>
      <c r="J298" s="23">
        <v>320478.90999999997</v>
      </c>
      <c r="K298" s="23">
        <v>1526126.47</v>
      </c>
      <c r="L298" s="23"/>
      <c r="M298" s="229">
        <v>138755.92000000001</v>
      </c>
      <c r="O298" s="229"/>
      <c r="P298" s="229"/>
    </row>
    <row r="299" spans="1:16" ht="16.5">
      <c r="A299" s="118" t="s">
        <v>298</v>
      </c>
      <c r="B299" s="227" t="s">
        <v>865</v>
      </c>
      <c r="C299" s="23">
        <v>623693.54</v>
      </c>
      <c r="D299" s="23">
        <v>3920783.75</v>
      </c>
      <c r="E299" s="23"/>
      <c r="F299" s="23">
        <v>22</v>
      </c>
      <c r="G299" s="23"/>
      <c r="H299" s="229"/>
      <c r="I299" s="23"/>
      <c r="K299" s="23">
        <v>759808</v>
      </c>
      <c r="L299" s="23"/>
      <c r="M299" s="229">
        <v>118249.15</v>
      </c>
      <c r="O299" s="229">
        <v>43191.44</v>
      </c>
      <c r="P299" s="229"/>
    </row>
    <row r="300" spans="1:16" ht="16.5">
      <c r="A300" s="118" t="s">
        <v>299</v>
      </c>
      <c r="B300" s="227" t="s">
        <v>866</v>
      </c>
      <c r="C300" s="23">
        <v>1418340.22</v>
      </c>
      <c r="D300" s="23">
        <v>7000542.2300000004</v>
      </c>
      <c r="E300" s="23"/>
      <c r="F300" s="23">
        <v>778.52</v>
      </c>
      <c r="G300" s="23"/>
      <c r="H300" s="229"/>
      <c r="I300" s="23"/>
      <c r="J300" s="23">
        <v>256381.07</v>
      </c>
      <c r="K300" s="23">
        <v>1034266.04</v>
      </c>
      <c r="L300" s="23"/>
      <c r="M300" s="229">
        <v>2497.3000000000002</v>
      </c>
      <c r="O300" s="229"/>
      <c r="P300" s="229"/>
    </row>
    <row r="301" spans="1:16" ht="16.5">
      <c r="A301" s="118" t="s">
        <v>1311</v>
      </c>
      <c r="B301" s="227" t="s">
        <v>1803</v>
      </c>
      <c r="C301" s="23">
        <v>18861.259999999998</v>
      </c>
      <c r="D301" s="23">
        <v>58675.58</v>
      </c>
      <c r="E301" s="23"/>
      <c r="F301" s="23"/>
      <c r="G301" s="23"/>
      <c r="H301" s="229"/>
      <c r="I301" s="23"/>
      <c r="J301" s="23">
        <v>1429</v>
      </c>
      <c r="K301" s="23">
        <v>6003</v>
      </c>
      <c r="L301" s="23"/>
      <c r="O301" s="229"/>
      <c r="P301" s="229"/>
    </row>
    <row r="302" spans="1:16" ht="16.5">
      <c r="A302" s="118" t="s">
        <v>300</v>
      </c>
      <c r="B302" s="227" t="s">
        <v>826</v>
      </c>
      <c r="C302" s="23">
        <v>104665.79</v>
      </c>
      <c r="D302" s="23">
        <v>409308.36</v>
      </c>
      <c r="E302" s="23"/>
      <c r="F302" s="23"/>
      <c r="G302" s="23"/>
      <c r="H302" s="229"/>
      <c r="I302" s="23"/>
      <c r="K302" s="23">
        <v>147494</v>
      </c>
      <c r="L302" s="23"/>
      <c r="O302" s="229"/>
      <c r="P302" s="229"/>
    </row>
    <row r="303" spans="1:16" ht="16.5">
      <c r="A303" s="118" t="s">
        <v>302</v>
      </c>
      <c r="B303" s="227" t="s">
        <v>827</v>
      </c>
      <c r="C303" s="23">
        <v>1136976.45</v>
      </c>
      <c r="D303" s="23">
        <v>5647565.0999999996</v>
      </c>
      <c r="E303" s="23">
        <v>151244.34</v>
      </c>
      <c r="F303" s="23">
        <v>2732.8</v>
      </c>
      <c r="G303" s="23"/>
      <c r="H303" s="229"/>
      <c r="I303" s="23"/>
      <c r="J303" s="23">
        <v>174656.07</v>
      </c>
      <c r="K303" s="23">
        <v>803549.21</v>
      </c>
      <c r="L303" s="23"/>
      <c r="M303" s="229">
        <v>9499.74</v>
      </c>
      <c r="O303" s="229">
        <v>55201.26</v>
      </c>
      <c r="P303" s="229"/>
    </row>
    <row r="304" spans="1:16" ht="16.5">
      <c r="A304" s="118" t="s">
        <v>304</v>
      </c>
      <c r="B304" s="227" t="s">
        <v>929</v>
      </c>
      <c r="C304" s="23">
        <v>245466.91</v>
      </c>
      <c r="D304" s="23">
        <v>1173108.8899999999</v>
      </c>
      <c r="E304" s="23"/>
      <c r="F304" s="23"/>
      <c r="G304" s="23"/>
      <c r="H304" s="229"/>
      <c r="I304" s="23"/>
      <c r="K304" s="23"/>
      <c r="L304" s="23"/>
      <c r="O304" s="229"/>
      <c r="P304" s="229"/>
    </row>
    <row r="305" spans="1:16" ht="16.5">
      <c r="A305" s="118" t="s">
        <v>1161</v>
      </c>
      <c r="B305" s="227" t="s">
        <v>1786</v>
      </c>
      <c r="C305" s="23">
        <v>38728.160000000003</v>
      </c>
      <c r="D305" s="23">
        <v>124246.37</v>
      </c>
      <c r="E305" s="23"/>
      <c r="F305" s="23"/>
      <c r="G305" s="23"/>
      <c r="H305" s="229"/>
      <c r="I305" s="23"/>
      <c r="J305" s="23">
        <v>3553</v>
      </c>
      <c r="K305" s="23">
        <v>17183</v>
      </c>
      <c r="L305" s="23"/>
      <c r="O305" s="229"/>
      <c r="P305" s="229"/>
    </row>
    <row r="306" spans="1:16" ht="16.5">
      <c r="A306" s="118" t="s">
        <v>306</v>
      </c>
      <c r="B306" s="227" t="s">
        <v>828</v>
      </c>
      <c r="C306" s="23">
        <v>65556.09</v>
      </c>
      <c r="D306" s="23">
        <v>273615.89</v>
      </c>
      <c r="E306" s="23"/>
      <c r="F306" s="23"/>
      <c r="G306" s="23"/>
      <c r="H306" s="229"/>
      <c r="I306" s="23"/>
      <c r="J306" s="23">
        <v>4120</v>
      </c>
      <c r="K306" s="23">
        <v>49450</v>
      </c>
      <c r="L306" s="23"/>
      <c r="O306" s="229"/>
      <c r="P306" s="229"/>
    </row>
    <row r="307" spans="1:16" ht="16.5">
      <c r="A307" s="118" t="s">
        <v>308</v>
      </c>
      <c r="B307" s="227" t="s">
        <v>829</v>
      </c>
      <c r="C307" s="23">
        <v>82342.12</v>
      </c>
      <c r="D307" s="23">
        <v>412158.64</v>
      </c>
      <c r="E307" s="23"/>
      <c r="F307" s="23"/>
      <c r="G307" s="23"/>
      <c r="H307" s="229"/>
      <c r="I307" s="23"/>
      <c r="K307" s="23">
        <v>137851.93</v>
      </c>
      <c r="L307" s="23"/>
      <c r="O307" s="229"/>
      <c r="P307" s="229"/>
    </row>
    <row r="308" spans="1:16" ht="16.5">
      <c r="A308" s="118" t="s">
        <v>310</v>
      </c>
      <c r="B308" s="227" t="s">
        <v>830</v>
      </c>
      <c r="C308" s="23">
        <v>16341.62</v>
      </c>
      <c r="D308" s="23">
        <v>139083.49</v>
      </c>
      <c r="E308" s="23"/>
      <c r="F308" s="23"/>
      <c r="G308" s="23"/>
      <c r="H308" s="229"/>
      <c r="I308" s="23"/>
      <c r="K308" s="23">
        <v>36301.760000000002</v>
      </c>
      <c r="L308" s="23"/>
      <c r="O308" s="229"/>
      <c r="P308" s="229"/>
    </row>
    <row r="309" spans="1:16" ht="16.5">
      <c r="A309" s="118" t="s">
        <v>312</v>
      </c>
      <c r="B309" s="227" t="s">
        <v>831</v>
      </c>
      <c r="C309" s="23">
        <v>181630.63</v>
      </c>
      <c r="D309" s="23">
        <v>1089955.5</v>
      </c>
      <c r="E309" s="23"/>
      <c r="F309" s="23"/>
      <c r="G309" s="23"/>
      <c r="H309" s="229"/>
      <c r="I309" s="23"/>
      <c r="J309" s="23">
        <v>18356.64</v>
      </c>
      <c r="K309" s="23">
        <v>214608.68</v>
      </c>
      <c r="L309" s="23"/>
      <c r="O309" s="229"/>
      <c r="P309" s="229"/>
    </row>
    <row r="310" spans="1:16" ht="16.5">
      <c r="A310" s="118" t="s">
        <v>173</v>
      </c>
      <c r="B310" s="227" t="s">
        <v>832</v>
      </c>
      <c r="C310" s="23">
        <v>21152.69</v>
      </c>
      <c r="D310" s="23">
        <v>180379.16</v>
      </c>
      <c r="E310" s="23"/>
      <c r="F310" s="23"/>
      <c r="G310" s="23"/>
      <c r="H310" s="229"/>
      <c r="I310" s="23"/>
      <c r="J310" s="23">
        <v>7828</v>
      </c>
      <c r="K310" s="23">
        <v>34439.040000000001</v>
      </c>
      <c r="L310" s="23"/>
      <c r="O310" s="229"/>
      <c r="P310" s="229"/>
    </row>
    <row r="311" spans="1:16" ht="16.5">
      <c r="A311" s="118" t="s">
        <v>175</v>
      </c>
      <c r="B311" s="227" t="s">
        <v>930</v>
      </c>
      <c r="C311" s="23">
        <v>6942.85</v>
      </c>
      <c r="D311" s="23">
        <v>46389.91</v>
      </c>
      <c r="E311" s="23"/>
      <c r="F311" s="23"/>
      <c r="G311" s="23"/>
      <c r="H311" s="229"/>
      <c r="I311" s="23"/>
      <c r="K311" s="23"/>
      <c r="L311" s="23"/>
      <c r="O311" s="229"/>
      <c r="P311" s="229"/>
    </row>
    <row r="312" spans="1:16" ht="16.5">
      <c r="A312" s="118" t="s">
        <v>177</v>
      </c>
      <c r="B312" s="227" t="s">
        <v>833</v>
      </c>
      <c r="C312" s="23">
        <v>631779.15</v>
      </c>
      <c r="D312" s="23">
        <v>3680646.55</v>
      </c>
      <c r="E312" s="23"/>
      <c r="F312" s="23">
        <v>4506.38</v>
      </c>
      <c r="G312" s="23"/>
      <c r="H312" s="229"/>
      <c r="I312" s="23"/>
      <c r="J312" s="23">
        <v>119592</v>
      </c>
      <c r="K312" s="23">
        <v>525606</v>
      </c>
      <c r="L312" s="23"/>
      <c r="M312" s="229">
        <v>17750.02</v>
      </c>
      <c r="O312" s="229">
        <v>116430</v>
      </c>
      <c r="P312" s="229"/>
    </row>
    <row r="313" spans="1:16" ht="16.5">
      <c r="A313" s="118" t="s">
        <v>179</v>
      </c>
      <c r="B313" s="227" t="s">
        <v>834</v>
      </c>
      <c r="C313" s="23">
        <v>4998181.01</v>
      </c>
      <c r="D313" s="23">
        <v>19306577.649999999</v>
      </c>
      <c r="E313" s="23"/>
      <c r="F313" s="23"/>
      <c r="G313" s="23"/>
      <c r="H313" s="229"/>
      <c r="I313" s="23"/>
      <c r="J313" s="23">
        <v>682386.55</v>
      </c>
      <c r="K313" s="23">
        <v>3428352.84</v>
      </c>
      <c r="L313" s="23"/>
      <c r="M313" s="229">
        <v>271703.11</v>
      </c>
      <c r="O313" s="229"/>
      <c r="P313" s="229"/>
    </row>
    <row r="314" spans="1:16" ht="16.5">
      <c r="A314" s="118" t="s">
        <v>181</v>
      </c>
      <c r="B314" s="227" t="s">
        <v>835</v>
      </c>
      <c r="C314" s="23">
        <v>1305326.6599999999</v>
      </c>
      <c r="D314" s="23">
        <v>7591011.5700000003</v>
      </c>
      <c r="E314" s="23"/>
      <c r="F314" s="23"/>
      <c r="G314" s="23"/>
      <c r="H314" s="229">
        <v>49684</v>
      </c>
      <c r="I314" s="23"/>
      <c r="J314" s="23">
        <v>207276.72</v>
      </c>
      <c r="K314" s="23">
        <v>992723</v>
      </c>
      <c r="L314" s="23"/>
      <c r="M314" s="229">
        <v>50300.15</v>
      </c>
      <c r="O314" s="229"/>
      <c r="P314" s="229"/>
    </row>
    <row r="315" spans="1:16" ht="16.5">
      <c r="A315" s="118" t="s">
        <v>407</v>
      </c>
      <c r="B315" s="227" t="s">
        <v>836</v>
      </c>
      <c r="C315" s="23">
        <v>192094.78</v>
      </c>
      <c r="D315" s="23">
        <v>1217435.73</v>
      </c>
      <c r="E315" s="23"/>
      <c r="F315" s="23"/>
      <c r="G315" s="23"/>
      <c r="H315" s="229"/>
      <c r="I315" s="23"/>
      <c r="J315" s="23">
        <v>33927.65</v>
      </c>
      <c r="K315" s="23">
        <v>238560</v>
      </c>
      <c r="L315" s="23"/>
      <c r="O315" s="229"/>
    </row>
  </sheetData>
  <sortState xmlns:xlrd2="http://schemas.microsoft.com/office/spreadsheetml/2017/richdata2" ref="A3:O315">
    <sortCondition ref="B3:B31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85F1-8C79-4941-B46C-A36D20C8AE1A}">
  <sheetPr>
    <tabColor rgb="FF92D050"/>
  </sheetPr>
  <dimension ref="A3:K2119"/>
  <sheetViews>
    <sheetView workbookViewId="0">
      <selection activeCell="D326" sqref="D326"/>
    </sheetView>
  </sheetViews>
  <sheetFormatPr defaultRowHeight="12.75"/>
  <cols>
    <col min="1" max="1" width="13.85546875" bestFit="1" customWidth="1"/>
    <col min="2" max="2" width="15.140625" bestFit="1" customWidth="1"/>
    <col min="3" max="3" width="9.85546875" bestFit="1" customWidth="1"/>
    <col min="4" max="4" width="9.140625" bestFit="1" customWidth="1"/>
    <col min="5" max="7" width="9" bestFit="1" customWidth="1"/>
    <col min="8" max="9" width="8" bestFit="1" customWidth="1"/>
    <col min="10" max="11" width="6" bestFit="1" customWidth="1"/>
  </cols>
  <sheetData>
    <row r="3" spans="1:11">
      <c r="A3" s="176" t="s">
        <v>1760</v>
      </c>
      <c r="D3" s="176" t="s">
        <v>1003</v>
      </c>
    </row>
    <row r="4" spans="1:11">
      <c r="A4" s="176" t="s">
        <v>584</v>
      </c>
      <c r="B4" s="176" t="s">
        <v>1590</v>
      </c>
      <c r="C4" s="176" t="s">
        <v>1002</v>
      </c>
      <c r="D4" s="23">
        <v>0</v>
      </c>
      <c r="E4" s="23">
        <v>2</v>
      </c>
      <c r="F4" s="23">
        <v>3</v>
      </c>
      <c r="G4" s="23">
        <v>4</v>
      </c>
      <c r="H4" s="23">
        <v>5</v>
      </c>
      <c r="I4" s="23">
        <v>7</v>
      </c>
      <c r="J4" s="23">
        <v>8</v>
      </c>
      <c r="K4" s="23">
        <v>9</v>
      </c>
    </row>
    <row r="5" spans="1:11">
      <c r="A5" s="23" t="s">
        <v>51</v>
      </c>
      <c r="B5" s="23">
        <v>21</v>
      </c>
      <c r="C5" s="23">
        <v>21</v>
      </c>
      <c r="D5" s="224"/>
      <c r="E5" s="224">
        <v>128714</v>
      </c>
      <c r="F5" s="224">
        <v>113149</v>
      </c>
      <c r="G5" s="224">
        <v>94901</v>
      </c>
      <c r="H5" s="224">
        <v>1000</v>
      </c>
      <c r="I5" s="224"/>
      <c r="J5" s="224"/>
      <c r="K5" s="224"/>
    </row>
    <row r="6" spans="1:11">
      <c r="A6" s="23" t="s">
        <v>51</v>
      </c>
      <c r="B6" s="23">
        <v>21</v>
      </c>
      <c r="C6" s="23">
        <v>26</v>
      </c>
      <c r="D6" s="224"/>
      <c r="E6" s="224">
        <v>136339</v>
      </c>
      <c r="F6" s="224">
        <v>120477</v>
      </c>
      <c r="G6" s="224">
        <v>102255</v>
      </c>
      <c r="H6" s="224">
        <v>12000</v>
      </c>
      <c r="I6" s="224">
        <v>133431</v>
      </c>
      <c r="J6" s="224"/>
      <c r="K6" s="224"/>
    </row>
    <row r="7" spans="1:11">
      <c r="A7" s="23" t="s">
        <v>51</v>
      </c>
      <c r="B7" s="23">
        <v>21</v>
      </c>
      <c r="C7" s="23">
        <v>27</v>
      </c>
      <c r="D7" s="224"/>
      <c r="E7" s="224">
        <v>2179656</v>
      </c>
      <c r="F7" s="224">
        <v>1301637</v>
      </c>
      <c r="G7" s="224">
        <v>1777959</v>
      </c>
      <c r="H7" s="224">
        <v>17500</v>
      </c>
      <c r="I7" s="224">
        <v>10500</v>
      </c>
      <c r="J7" s="224"/>
      <c r="K7" s="224"/>
    </row>
    <row r="8" spans="1:11">
      <c r="A8" s="23" t="s">
        <v>51</v>
      </c>
      <c r="B8" s="23">
        <v>21</v>
      </c>
      <c r="C8" s="23">
        <v>31</v>
      </c>
      <c r="D8" s="224"/>
      <c r="E8" s="224"/>
      <c r="F8" s="224"/>
      <c r="G8" s="224"/>
      <c r="H8" s="224">
        <v>2000</v>
      </c>
      <c r="I8" s="224"/>
      <c r="J8" s="224"/>
      <c r="K8" s="224"/>
    </row>
    <row r="9" spans="1:11">
      <c r="A9" s="23" t="s">
        <v>51</v>
      </c>
      <c r="B9" s="23">
        <v>21</v>
      </c>
      <c r="C9" s="23">
        <v>34</v>
      </c>
      <c r="D9" s="224"/>
      <c r="E9" s="224">
        <v>52025</v>
      </c>
      <c r="F9" s="224"/>
      <c r="G9" s="224">
        <v>12266</v>
      </c>
      <c r="H9" s="224"/>
      <c r="I9" s="224"/>
      <c r="J9" s="224"/>
      <c r="K9" s="224"/>
    </row>
    <row r="10" spans="1:11">
      <c r="A10" s="23" t="s">
        <v>51</v>
      </c>
      <c r="B10" s="23">
        <v>23</v>
      </c>
      <c r="C10" s="23">
        <v>26</v>
      </c>
      <c r="D10" s="224"/>
      <c r="E10" s="224"/>
      <c r="F10" s="224">
        <v>59692</v>
      </c>
      <c r="G10" s="224">
        <v>48244</v>
      </c>
      <c r="H10" s="224"/>
      <c r="I10" s="224">
        <v>15000</v>
      </c>
      <c r="J10" s="224"/>
      <c r="K10" s="224"/>
    </row>
    <row r="11" spans="1:11">
      <c r="A11" s="23" t="s">
        <v>51</v>
      </c>
      <c r="B11" s="23">
        <v>24</v>
      </c>
      <c r="C11" s="23">
        <v>21</v>
      </c>
      <c r="D11" s="224"/>
      <c r="E11" s="224">
        <v>32179</v>
      </c>
      <c r="F11" s="224"/>
      <c r="G11" s="224">
        <v>8844</v>
      </c>
      <c r="H11" s="224"/>
      <c r="I11" s="224"/>
      <c r="J11" s="224"/>
      <c r="K11" s="224"/>
    </row>
    <row r="12" spans="1:11">
      <c r="A12" s="23" t="s">
        <v>51</v>
      </c>
      <c r="B12" s="23">
        <v>24</v>
      </c>
      <c r="C12" s="23">
        <v>26</v>
      </c>
      <c r="D12" s="224"/>
      <c r="E12" s="224">
        <v>293364</v>
      </c>
      <c r="F12" s="224"/>
      <c r="G12" s="224">
        <v>105363</v>
      </c>
      <c r="H12" s="224"/>
      <c r="I12" s="224">
        <v>95000</v>
      </c>
      <c r="J12" s="224"/>
      <c r="K12" s="224"/>
    </row>
    <row r="13" spans="1:11">
      <c r="A13" s="23" t="s">
        <v>51</v>
      </c>
      <c r="B13" s="23">
        <v>24</v>
      </c>
      <c r="C13" s="23">
        <v>27</v>
      </c>
      <c r="D13" s="224"/>
      <c r="E13" s="224">
        <v>213786</v>
      </c>
      <c r="F13" s="224"/>
      <c r="G13" s="224">
        <v>75477</v>
      </c>
      <c r="H13" s="224"/>
      <c r="I13" s="224"/>
      <c r="J13" s="224"/>
      <c r="K13" s="224"/>
    </row>
    <row r="14" spans="1:11">
      <c r="A14" s="23" t="s">
        <v>53</v>
      </c>
      <c r="B14" s="23">
        <v>21</v>
      </c>
      <c r="C14" s="23">
        <v>27</v>
      </c>
      <c r="D14" s="224"/>
      <c r="E14" s="224">
        <v>201578</v>
      </c>
      <c r="F14" s="224">
        <v>216686</v>
      </c>
      <c r="G14" s="224">
        <v>239338</v>
      </c>
      <c r="H14" s="224">
        <v>2699</v>
      </c>
      <c r="I14" s="224">
        <v>293000</v>
      </c>
      <c r="J14" s="224"/>
      <c r="K14" s="224"/>
    </row>
    <row r="15" spans="1:11">
      <c r="A15" s="23" t="s">
        <v>53</v>
      </c>
      <c r="B15" s="23">
        <v>24</v>
      </c>
      <c r="C15" s="23">
        <v>27</v>
      </c>
      <c r="D15" s="224"/>
      <c r="E15" s="224"/>
      <c r="F15" s="224"/>
      <c r="G15" s="224"/>
      <c r="H15" s="224"/>
      <c r="I15" s="224">
        <v>124779</v>
      </c>
      <c r="J15" s="224"/>
      <c r="K15" s="224"/>
    </row>
    <row r="16" spans="1:11">
      <c r="A16" s="23" t="s">
        <v>55</v>
      </c>
      <c r="B16" s="23">
        <v>21</v>
      </c>
      <c r="C16" s="23">
        <v>21</v>
      </c>
      <c r="D16" s="224"/>
      <c r="E16" s="224">
        <v>31350</v>
      </c>
      <c r="F16" s="224"/>
      <c r="G16" s="224">
        <v>10848</v>
      </c>
      <c r="H16" s="224"/>
      <c r="I16" s="224"/>
      <c r="J16" s="224"/>
      <c r="K16" s="224"/>
    </row>
    <row r="17" spans="1:11">
      <c r="A17" s="23" t="s">
        <v>55</v>
      </c>
      <c r="B17" s="23">
        <v>21</v>
      </c>
      <c r="C17" s="23">
        <v>26</v>
      </c>
      <c r="D17" s="224"/>
      <c r="E17" s="224"/>
      <c r="F17" s="224"/>
      <c r="G17" s="224"/>
      <c r="H17" s="224"/>
      <c r="I17" s="224">
        <v>35000</v>
      </c>
      <c r="J17" s="224"/>
      <c r="K17" s="224"/>
    </row>
    <row r="18" spans="1:11">
      <c r="A18" s="23" t="s">
        <v>55</v>
      </c>
      <c r="B18" s="23">
        <v>21</v>
      </c>
      <c r="C18" s="23">
        <v>27</v>
      </c>
      <c r="D18" s="224"/>
      <c r="E18" s="224">
        <v>46339</v>
      </c>
      <c r="F18" s="224">
        <v>19132</v>
      </c>
      <c r="G18" s="224">
        <v>37076</v>
      </c>
      <c r="H18" s="224">
        <v>2500</v>
      </c>
      <c r="I18" s="224"/>
      <c r="J18" s="224"/>
      <c r="K18" s="224"/>
    </row>
    <row r="19" spans="1:11">
      <c r="A19" s="23" t="s">
        <v>55</v>
      </c>
      <c r="B19" s="23">
        <v>24</v>
      </c>
      <c r="C19" s="23">
        <v>26</v>
      </c>
      <c r="D19" s="224"/>
      <c r="E19" s="224"/>
      <c r="F19" s="224"/>
      <c r="G19" s="224"/>
      <c r="H19" s="224"/>
      <c r="I19" s="224">
        <v>29500</v>
      </c>
      <c r="J19" s="224"/>
      <c r="K19" s="224"/>
    </row>
    <row r="20" spans="1:11">
      <c r="A20" s="23" t="s">
        <v>182</v>
      </c>
      <c r="B20" s="23">
        <v>21</v>
      </c>
      <c r="C20" s="23">
        <v>21</v>
      </c>
      <c r="D20" s="224">
        <v>1500</v>
      </c>
      <c r="E20" s="224">
        <v>267771</v>
      </c>
      <c r="F20" s="224">
        <v>71042</v>
      </c>
      <c r="G20" s="224">
        <v>102959</v>
      </c>
      <c r="H20" s="224">
        <v>900</v>
      </c>
      <c r="I20" s="224">
        <v>13500</v>
      </c>
      <c r="J20" s="224">
        <v>500</v>
      </c>
      <c r="K20" s="224"/>
    </row>
    <row r="21" spans="1:11">
      <c r="A21" s="23" t="s">
        <v>182</v>
      </c>
      <c r="B21" s="23">
        <v>21</v>
      </c>
      <c r="C21" s="23">
        <v>26</v>
      </c>
      <c r="D21" s="224"/>
      <c r="E21" s="224">
        <v>908961</v>
      </c>
      <c r="F21" s="224"/>
      <c r="G21" s="224">
        <v>326110</v>
      </c>
      <c r="H21" s="224"/>
      <c r="I21" s="224"/>
      <c r="J21" s="224"/>
      <c r="K21" s="224"/>
    </row>
    <row r="22" spans="1:11">
      <c r="A22" s="23" t="s">
        <v>182</v>
      </c>
      <c r="B22" s="23">
        <v>21</v>
      </c>
      <c r="C22" s="23">
        <v>27</v>
      </c>
      <c r="D22" s="224"/>
      <c r="E22" s="224">
        <v>1414300</v>
      </c>
      <c r="F22" s="224">
        <v>805986</v>
      </c>
      <c r="G22" s="224">
        <v>1027878</v>
      </c>
      <c r="H22" s="224"/>
      <c r="I22" s="224">
        <v>130347</v>
      </c>
      <c r="J22" s="224"/>
      <c r="K22" s="224"/>
    </row>
    <row r="23" spans="1:11">
      <c r="A23" s="23" t="s">
        <v>182</v>
      </c>
      <c r="B23" s="23">
        <v>21</v>
      </c>
      <c r="C23" s="23">
        <v>31</v>
      </c>
      <c r="D23" s="224"/>
      <c r="E23" s="224"/>
      <c r="F23" s="224"/>
      <c r="G23" s="224"/>
      <c r="H23" s="224">
        <v>500</v>
      </c>
      <c r="I23" s="224">
        <v>5000</v>
      </c>
      <c r="J23" s="224">
        <v>500</v>
      </c>
      <c r="K23" s="224"/>
    </row>
    <row r="24" spans="1:11">
      <c r="A24" s="23" t="s">
        <v>182</v>
      </c>
      <c r="B24" s="23">
        <v>21</v>
      </c>
      <c r="C24" s="23">
        <v>34</v>
      </c>
      <c r="D24" s="224"/>
      <c r="E24" s="224">
        <v>39064</v>
      </c>
      <c r="F24" s="224"/>
      <c r="G24" s="224">
        <v>9021</v>
      </c>
      <c r="H24" s="224"/>
      <c r="I24" s="224"/>
      <c r="J24" s="224"/>
      <c r="K24" s="224"/>
    </row>
    <row r="25" spans="1:11">
      <c r="A25" s="23" t="s">
        <v>182</v>
      </c>
      <c r="B25" s="23">
        <v>24</v>
      </c>
      <c r="C25" s="23">
        <v>26</v>
      </c>
      <c r="D25" s="224"/>
      <c r="E25" s="224"/>
      <c r="F25" s="224"/>
      <c r="G25" s="224"/>
      <c r="H25" s="224">
        <v>9000</v>
      </c>
      <c r="I25" s="224">
        <v>2000</v>
      </c>
      <c r="J25" s="224">
        <v>200</v>
      </c>
      <c r="K25" s="224"/>
    </row>
    <row r="26" spans="1:11">
      <c r="A26" s="23" t="s">
        <v>182</v>
      </c>
      <c r="B26" s="23">
        <v>24</v>
      </c>
      <c r="C26" s="23">
        <v>27</v>
      </c>
      <c r="D26" s="224"/>
      <c r="E26" s="224"/>
      <c r="F26" s="224">
        <v>83137</v>
      </c>
      <c r="G26" s="224">
        <v>40647</v>
      </c>
      <c r="H26" s="224">
        <v>6000</v>
      </c>
      <c r="I26" s="224">
        <v>377653</v>
      </c>
      <c r="J26" s="224">
        <v>300</v>
      </c>
      <c r="K26" s="224"/>
    </row>
    <row r="27" spans="1:11">
      <c r="A27" s="23" t="s">
        <v>471</v>
      </c>
      <c r="B27" s="23">
        <v>21</v>
      </c>
      <c r="C27" s="23">
        <v>21</v>
      </c>
      <c r="D27" s="224"/>
      <c r="E27" s="224">
        <v>265581</v>
      </c>
      <c r="F27" s="224">
        <v>180233</v>
      </c>
      <c r="G27" s="224">
        <v>150057</v>
      </c>
      <c r="H27" s="224">
        <v>800</v>
      </c>
      <c r="I27" s="224">
        <v>1350</v>
      </c>
      <c r="J27" s="224"/>
      <c r="K27" s="224"/>
    </row>
    <row r="28" spans="1:11">
      <c r="A28" s="23" t="s">
        <v>471</v>
      </c>
      <c r="B28" s="23">
        <v>21</v>
      </c>
      <c r="C28" s="23">
        <v>26</v>
      </c>
      <c r="D28" s="224"/>
      <c r="E28" s="224">
        <v>1194212</v>
      </c>
      <c r="F28" s="224">
        <v>92457</v>
      </c>
      <c r="G28" s="224">
        <v>460538</v>
      </c>
      <c r="H28" s="224"/>
      <c r="I28" s="224">
        <v>580000</v>
      </c>
      <c r="J28" s="224"/>
      <c r="K28" s="224"/>
    </row>
    <row r="29" spans="1:11">
      <c r="A29" s="23" t="s">
        <v>471</v>
      </c>
      <c r="B29" s="23">
        <v>21</v>
      </c>
      <c r="C29" s="23">
        <v>27</v>
      </c>
      <c r="D29" s="224"/>
      <c r="E29" s="224">
        <v>4177261</v>
      </c>
      <c r="F29" s="224">
        <v>2766142</v>
      </c>
      <c r="G29" s="224">
        <v>2956003</v>
      </c>
      <c r="H29" s="224">
        <v>34500</v>
      </c>
      <c r="I29" s="224">
        <v>789000</v>
      </c>
      <c r="J29" s="224"/>
      <c r="K29" s="224"/>
    </row>
    <row r="30" spans="1:11">
      <c r="A30" s="23" t="s">
        <v>471</v>
      </c>
      <c r="B30" s="23">
        <v>21</v>
      </c>
      <c r="C30" s="23">
        <v>29</v>
      </c>
      <c r="D30" s="224"/>
      <c r="E30" s="224"/>
      <c r="F30" s="224"/>
      <c r="G30" s="224"/>
      <c r="H30" s="224"/>
      <c r="I30" s="224">
        <v>170000</v>
      </c>
      <c r="J30" s="224"/>
      <c r="K30" s="224"/>
    </row>
    <row r="31" spans="1:11">
      <c r="A31" s="23" t="s">
        <v>471</v>
      </c>
      <c r="B31" s="23">
        <v>21</v>
      </c>
      <c r="C31" s="23">
        <v>31</v>
      </c>
      <c r="D31" s="224"/>
      <c r="E31" s="224"/>
      <c r="F31" s="224"/>
      <c r="G31" s="224"/>
      <c r="H31" s="224"/>
      <c r="I31" s="224">
        <v>20000</v>
      </c>
      <c r="J31" s="224"/>
      <c r="K31" s="224"/>
    </row>
    <row r="32" spans="1:11">
      <c r="A32" s="23" t="s">
        <v>471</v>
      </c>
      <c r="B32" s="23">
        <v>23</v>
      </c>
      <c r="C32" s="23">
        <v>27</v>
      </c>
      <c r="D32" s="224"/>
      <c r="E32" s="224"/>
      <c r="F32" s="224"/>
      <c r="G32" s="224"/>
      <c r="H32" s="224"/>
      <c r="I32" s="224">
        <v>213137</v>
      </c>
      <c r="J32" s="224"/>
      <c r="K32" s="224"/>
    </row>
    <row r="33" spans="1:11">
      <c r="A33" s="23" t="s">
        <v>471</v>
      </c>
      <c r="B33" s="23">
        <v>24</v>
      </c>
      <c r="C33" s="23">
        <v>26</v>
      </c>
      <c r="D33" s="224"/>
      <c r="E33" s="224">
        <v>686623</v>
      </c>
      <c r="F33" s="224"/>
      <c r="G33" s="224">
        <v>228540</v>
      </c>
      <c r="H33" s="224"/>
      <c r="I33" s="224">
        <v>79220</v>
      </c>
      <c r="J33" s="224"/>
      <c r="K33" s="224"/>
    </row>
    <row r="34" spans="1:11">
      <c r="A34" s="23" t="s">
        <v>471</v>
      </c>
      <c r="B34" s="23">
        <v>24</v>
      </c>
      <c r="C34" s="23">
        <v>27</v>
      </c>
      <c r="D34" s="224"/>
      <c r="E34" s="224">
        <v>3000</v>
      </c>
      <c r="F34" s="224">
        <v>29075</v>
      </c>
      <c r="G34" s="224">
        <v>18882</v>
      </c>
      <c r="H34" s="224"/>
      <c r="I34" s="224"/>
      <c r="J34" s="224"/>
      <c r="K34" s="224"/>
    </row>
    <row r="35" spans="1:11">
      <c r="A35" s="23" t="s">
        <v>473</v>
      </c>
      <c r="B35" s="23">
        <v>21</v>
      </c>
      <c r="C35" s="23">
        <v>21</v>
      </c>
      <c r="D35" s="224"/>
      <c r="E35" s="224">
        <v>3542</v>
      </c>
      <c r="F35" s="224">
        <v>11680</v>
      </c>
      <c r="G35" s="224">
        <v>6485</v>
      </c>
      <c r="H35" s="224"/>
      <c r="I35" s="224"/>
      <c r="J35" s="224"/>
      <c r="K35" s="224"/>
    </row>
    <row r="36" spans="1:11">
      <c r="A36" s="23" t="s">
        <v>473</v>
      </c>
      <c r="B36" s="23">
        <v>21</v>
      </c>
      <c r="C36" s="23">
        <v>26</v>
      </c>
      <c r="D36" s="224"/>
      <c r="E36" s="224">
        <v>105885</v>
      </c>
      <c r="F36" s="224"/>
      <c r="G36" s="224">
        <v>42934</v>
      </c>
      <c r="H36" s="224"/>
      <c r="I36" s="224"/>
      <c r="J36" s="224"/>
      <c r="K36" s="224"/>
    </row>
    <row r="37" spans="1:11">
      <c r="A37" s="23" t="s">
        <v>473</v>
      </c>
      <c r="B37" s="23">
        <v>21</v>
      </c>
      <c r="C37" s="23">
        <v>27</v>
      </c>
      <c r="D37" s="224">
        <v>3000</v>
      </c>
      <c r="E37" s="224">
        <v>183372</v>
      </c>
      <c r="F37" s="224">
        <v>167993</v>
      </c>
      <c r="G37" s="224">
        <v>197879</v>
      </c>
      <c r="H37" s="224">
        <v>4500</v>
      </c>
      <c r="I37" s="224"/>
      <c r="J37" s="224"/>
      <c r="K37" s="224"/>
    </row>
    <row r="38" spans="1:11">
      <c r="A38" s="23" t="s">
        <v>473</v>
      </c>
      <c r="B38" s="23">
        <v>21</v>
      </c>
      <c r="C38" s="23">
        <v>32</v>
      </c>
      <c r="D38" s="224"/>
      <c r="E38" s="224"/>
      <c r="F38" s="224"/>
      <c r="G38" s="224"/>
      <c r="H38" s="224">
        <v>3030</v>
      </c>
      <c r="I38" s="224">
        <v>784</v>
      </c>
      <c r="J38" s="224"/>
      <c r="K38" s="224"/>
    </row>
    <row r="39" spans="1:11">
      <c r="A39" s="23" t="s">
        <v>473</v>
      </c>
      <c r="B39" s="23">
        <v>24</v>
      </c>
      <c r="C39" s="23">
        <v>21</v>
      </c>
      <c r="D39" s="224"/>
      <c r="E39" s="224">
        <v>39995</v>
      </c>
      <c r="F39" s="224"/>
      <c r="G39" s="224">
        <v>12393</v>
      </c>
      <c r="H39" s="224"/>
      <c r="I39" s="224"/>
      <c r="J39" s="224"/>
      <c r="K39" s="224"/>
    </row>
    <row r="40" spans="1:11">
      <c r="A40" s="23" t="s">
        <v>473</v>
      </c>
      <c r="B40" s="23">
        <v>24</v>
      </c>
      <c r="C40" s="23">
        <v>27</v>
      </c>
      <c r="D40" s="224"/>
      <c r="E40" s="224"/>
      <c r="F40" s="224">
        <v>42138</v>
      </c>
      <c r="G40" s="224">
        <v>30709</v>
      </c>
      <c r="H40" s="224">
        <v>363</v>
      </c>
      <c r="I40" s="224"/>
      <c r="J40" s="224"/>
      <c r="K40" s="224"/>
    </row>
    <row r="41" spans="1:11">
      <c r="A41" s="23" t="s">
        <v>474</v>
      </c>
      <c r="B41" s="23">
        <v>21</v>
      </c>
      <c r="C41" s="23">
        <v>21</v>
      </c>
      <c r="D41" s="224"/>
      <c r="E41" s="224">
        <v>780787</v>
      </c>
      <c r="F41" s="224">
        <v>225067</v>
      </c>
      <c r="G41" s="224">
        <v>275331</v>
      </c>
      <c r="H41" s="224"/>
      <c r="I41" s="224"/>
      <c r="J41" s="224"/>
      <c r="K41" s="224"/>
    </row>
    <row r="42" spans="1:11">
      <c r="A42" s="23" t="s">
        <v>474</v>
      </c>
      <c r="B42" s="23">
        <v>21</v>
      </c>
      <c r="C42" s="23">
        <v>25</v>
      </c>
      <c r="D42" s="224"/>
      <c r="E42" s="224"/>
      <c r="F42" s="224">
        <v>392037</v>
      </c>
      <c r="G42" s="224">
        <v>367473</v>
      </c>
      <c r="H42" s="224"/>
      <c r="I42" s="224"/>
      <c r="J42" s="224"/>
      <c r="K42" s="224"/>
    </row>
    <row r="43" spans="1:11">
      <c r="A43" s="23" t="s">
        <v>474</v>
      </c>
      <c r="B43" s="23">
        <v>21</v>
      </c>
      <c r="C43" s="23">
        <v>26</v>
      </c>
      <c r="D43" s="224"/>
      <c r="E43" s="224">
        <v>6720799</v>
      </c>
      <c r="F43" s="224">
        <v>1236504</v>
      </c>
      <c r="G43" s="224">
        <v>2944764</v>
      </c>
      <c r="H43" s="224">
        <v>77600</v>
      </c>
      <c r="I43" s="224">
        <v>1350613</v>
      </c>
      <c r="J43" s="224">
        <v>8500</v>
      </c>
      <c r="K43" s="224"/>
    </row>
    <row r="44" spans="1:11">
      <c r="A44" s="23" t="s">
        <v>474</v>
      </c>
      <c r="B44" s="23">
        <v>21</v>
      </c>
      <c r="C44" s="23">
        <v>27</v>
      </c>
      <c r="D44" s="224"/>
      <c r="E44" s="224">
        <v>9418252</v>
      </c>
      <c r="F44" s="224">
        <v>7585092</v>
      </c>
      <c r="G44" s="224">
        <v>7499399</v>
      </c>
      <c r="H44" s="224">
        <v>36849</v>
      </c>
      <c r="I44" s="224">
        <v>36038</v>
      </c>
      <c r="J44" s="224">
        <v>5500</v>
      </c>
      <c r="K44" s="224"/>
    </row>
    <row r="45" spans="1:11">
      <c r="A45" s="23" t="s">
        <v>474</v>
      </c>
      <c r="B45" s="23">
        <v>21</v>
      </c>
      <c r="C45" s="23">
        <v>29</v>
      </c>
      <c r="D45" s="224"/>
      <c r="E45" s="224"/>
      <c r="F45" s="224"/>
      <c r="G45" s="224"/>
      <c r="H45" s="224"/>
      <c r="I45" s="224">
        <v>770000</v>
      </c>
      <c r="J45" s="224"/>
      <c r="K45" s="224"/>
    </row>
    <row r="46" spans="1:11">
      <c r="A46" s="23" t="s">
        <v>474</v>
      </c>
      <c r="B46" s="23">
        <v>21</v>
      </c>
      <c r="C46" s="23">
        <v>31</v>
      </c>
      <c r="D46" s="224"/>
      <c r="E46" s="224">
        <v>1941920</v>
      </c>
      <c r="F46" s="224"/>
      <c r="G46" s="224">
        <v>256860</v>
      </c>
      <c r="H46" s="224"/>
      <c r="I46" s="224">
        <v>24100</v>
      </c>
      <c r="J46" s="224">
        <v>5000</v>
      </c>
      <c r="K46" s="224"/>
    </row>
    <row r="47" spans="1:11">
      <c r="A47" s="23" t="s">
        <v>474</v>
      </c>
      <c r="B47" s="23">
        <v>21</v>
      </c>
      <c r="C47" s="23">
        <v>32</v>
      </c>
      <c r="D47" s="224"/>
      <c r="E47" s="224"/>
      <c r="F47" s="224"/>
      <c r="G47" s="224"/>
      <c r="H47" s="224">
        <v>7500</v>
      </c>
      <c r="I47" s="224"/>
      <c r="J47" s="224"/>
      <c r="K47" s="224"/>
    </row>
    <row r="48" spans="1:11">
      <c r="A48" s="23" t="s">
        <v>474</v>
      </c>
      <c r="B48" s="23">
        <v>21</v>
      </c>
      <c r="C48" s="23">
        <v>33</v>
      </c>
      <c r="D48" s="224"/>
      <c r="E48" s="224"/>
      <c r="F48" s="224"/>
      <c r="G48" s="224"/>
      <c r="H48" s="224">
        <v>95433</v>
      </c>
      <c r="I48" s="224">
        <v>20000</v>
      </c>
      <c r="J48" s="224"/>
      <c r="K48" s="224"/>
    </row>
    <row r="49" spans="1:11">
      <c r="A49" s="23" t="s">
        <v>474</v>
      </c>
      <c r="B49" s="23">
        <v>24</v>
      </c>
      <c r="C49" s="23">
        <v>21</v>
      </c>
      <c r="D49" s="224"/>
      <c r="E49" s="224">
        <v>415960</v>
      </c>
      <c r="F49" s="224"/>
      <c r="G49" s="224">
        <v>90730</v>
      </c>
      <c r="H49" s="224"/>
      <c r="I49" s="224"/>
      <c r="J49" s="224"/>
      <c r="K49" s="224"/>
    </row>
    <row r="50" spans="1:11">
      <c r="A50" s="23" t="s">
        <v>474</v>
      </c>
      <c r="B50" s="23">
        <v>24</v>
      </c>
      <c r="C50" s="23">
        <v>26</v>
      </c>
      <c r="D50" s="224"/>
      <c r="E50" s="224"/>
      <c r="F50" s="224"/>
      <c r="G50" s="224"/>
      <c r="H50" s="224"/>
      <c r="I50" s="224">
        <v>564978</v>
      </c>
      <c r="J50" s="224"/>
      <c r="K50" s="224"/>
    </row>
    <row r="51" spans="1:11">
      <c r="A51" s="23" t="s">
        <v>474</v>
      </c>
      <c r="B51" s="23">
        <v>24</v>
      </c>
      <c r="C51" s="23">
        <v>27</v>
      </c>
      <c r="D51" s="224"/>
      <c r="E51" s="224">
        <v>783032</v>
      </c>
      <c r="F51" s="224"/>
      <c r="G51" s="224">
        <v>277219</v>
      </c>
      <c r="H51" s="224">
        <v>10000</v>
      </c>
      <c r="I51" s="224"/>
      <c r="J51" s="224"/>
      <c r="K51" s="224"/>
    </row>
    <row r="52" spans="1:11">
      <c r="A52" s="23" t="s">
        <v>474</v>
      </c>
      <c r="B52" s="23">
        <v>24</v>
      </c>
      <c r="C52" s="23">
        <v>29</v>
      </c>
      <c r="D52" s="224"/>
      <c r="E52" s="224"/>
      <c r="F52" s="224"/>
      <c r="G52" s="224"/>
      <c r="H52" s="224"/>
      <c r="I52" s="224">
        <v>327924</v>
      </c>
      <c r="J52" s="224"/>
      <c r="K52" s="224"/>
    </row>
    <row r="53" spans="1:11">
      <c r="A53" s="23" t="s">
        <v>474</v>
      </c>
      <c r="B53" s="23">
        <v>24</v>
      </c>
      <c r="C53" s="23">
        <v>31</v>
      </c>
      <c r="D53" s="224"/>
      <c r="E53" s="224">
        <v>97415</v>
      </c>
      <c r="F53" s="224"/>
      <c r="G53" s="224">
        <v>10748</v>
      </c>
      <c r="H53" s="224"/>
      <c r="I53" s="224">
        <v>53841</v>
      </c>
      <c r="J53" s="224">
        <v>10000</v>
      </c>
      <c r="K53" s="224"/>
    </row>
    <row r="54" spans="1:11">
      <c r="A54" s="23" t="s">
        <v>474</v>
      </c>
      <c r="B54" s="23">
        <v>24</v>
      </c>
      <c r="C54" s="23">
        <v>33</v>
      </c>
      <c r="D54" s="224"/>
      <c r="E54" s="224"/>
      <c r="F54" s="224"/>
      <c r="G54" s="224"/>
      <c r="H54" s="224">
        <v>8000</v>
      </c>
      <c r="I54" s="224"/>
      <c r="J54" s="224"/>
      <c r="K54" s="224"/>
    </row>
    <row r="55" spans="1:11">
      <c r="A55" s="23" t="s">
        <v>476</v>
      </c>
      <c r="B55" s="23">
        <v>21</v>
      </c>
      <c r="C55" s="23">
        <v>21</v>
      </c>
      <c r="D55" s="224"/>
      <c r="E55" s="224">
        <v>275726</v>
      </c>
      <c r="F55" s="224">
        <v>35236</v>
      </c>
      <c r="G55" s="224">
        <v>99567</v>
      </c>
      <c r="H55" s="224">
        <v>3000</v>
      </c>
      <c r="I55" s="224">
        <v>58198</v>
      </c>
      <c r="J55" s="224">
        <v>400</v>
      </c>
      <c r="K55" s="224"/>
    </row>
    <row r="56" spans="1:11">
      <c r="A56" s="23" t="s">
        <v>476</v>
      </c>
      <c r="B56" s="23">
        <v>21</v>
      </c>
      <c r="C56" s="23">
        <v>25</v>
      </c>
      <c r="D56" s="224"/>
      <c r="E56" s="224"/>
      <c r="F56" s="224">
        <v>100669</v>
      </c>
      <c r="G56" s="224">
        <v>10065</v>
      </c>
      <c r="H56" s="224"/>
      <c r="I56" s="224"/>
      <c r="J56" s="224"/>
      <c r="K56" s="224"/>
    </row>
    <row r="57" spans="1:11">
      <c r="A57" s="23" t="s">
        <v>476</v>
      </c>
      <c r="B57" s="23">
        <v>21</v>
      </c>
      <c r="C57" s="23">
        <v>26</v>
      </c>
      <c r="D57" s="224"/>
      <c r="E57" s="224">
        <v>1095563</v>
      </c>
      <c r="F57" s="224">
        <v>13450</v>
      </c>
      <c r="G57" s="224">
        <v>402542</v>
      </c>
      <c r="H57" s="224">
        <v>5000</v>
      </c>
      <c r="I57" s="224">
        <v>4500</v>
      </c>
      <c r="J57" s="224"/>
      <c r="K57" s="224"/>
    </row>
    <row r="58" spans="1:11">
      <c r="A58" s="23" t="s">
        <v>476</v>
      </c>
      <c r="B58" s="23">
        <v>21</v>
      </c>
      <c r="C58" s="23">
        <v>27</v>
      </c>
      <c r="D58" s="224"/>
      <c r="E58" s="224">
        <v>2163046</v>
      </c>
      <c r="F58" s="224">
        <v>2343330</v>
      </c>
      <c r="G58" s="224">
        <v>2000024</v>
      </c>
      <c r="H58" s="224">
        <v>5700</v>
      </c>
      <c r="I58" s="224">
        <v>730650</v>
      </c>
      <c r="J58" s="224">
        <v>12500</v>
      </c>
      <c r="K58" s="224"/>
    </row>
    <row r="59" spans="1:11">
      <c r="A59" s="23" t="s">
        <v>476</v>
      </c>
      <c r="B59" s="23">
        <v>21</v>
      </c>
      <c r="C59" s="23">
        <v>31</v>
      </c>
      <c r="D59" s="224"/>
      <c r="E59" s="224">
        <v>83495</v>
      </c>
      <c r="F59" s="224">
        <v>15990</v>
      </c>
      <c r="G59" s="224">
        <v>33129</v>
      </c>
      <c r="H59" s="224"/>
      <c r="I59" s="224">
        <v>1000</v>
      </c>
      <c r="J59" s="224"/>
      <c r="K59" s="224"/>
    </row>
    <row r="60" spans="1:11">
      <c r="A60" s="23" t="s">
        <v>476</v>
      </c>
      <c r="B60" s="23">
        <v>21</v>
      </c>
      <c r="C60" s="23">
        <v>33</v>
      </c>
      <c r="D60" s="224"/>
      <c r="E60" s="224"/>
      <c r="F60" s="224"/>
      <c r="G60" s="224"/>
      <c r="H60" s="224">
        <v>6000</v>
      </c>
      <c r="I60" s="224"/>
      <c r="J60" s="224"/>
      <c r="K60" s="224"/>
    </row>
    <row r="61" spans="1:11">
      <c r="A61" s="23" t="s">
        <v>476</v>
      </c>
      <c r="B61" s="23">
        <v>21</v>
      </c>
      <c r="C61" s="23">
        <v>34</v>
      </c>
      <c r="D61" s="224"/>
      <c r="E61" s="224">
        <v>57524</v>
      </c>
      <c r="F61" s="224"/>
      <c r="G61" s="224">
        <v>12915</v>
      </c>
      <c r="H61" s="224"/>
      <c r="I61" s="224"/>
      <c r="J61" s="224"/>
      <c r="K61" s="224"/>
    </row>
    <row r="62" spans="1:11">
      <c r="A62" s="23" t="s">
        <v>476</v>
      </c>
      <c r="B62" s="23">
        <v>24</v>
      </c>
      <c r="C62" s="23">
        <v>26</v>
      </c>
      <c r="D62" s="224"/>
      <c r="E62" s="224">
        <v>283006</v>
      </c>
      <c r="F62" s="224"/>
      <c r="G62" s="224">
        <v>95312</v>
      </c>
      <c r="H62" s="224"/>
      <c r="I62" s="224"/>
      <c r="J62" s="224"/>
      <c r="K62" s="224"/>
    </row>
    <row r="63" spans="1:11">
      <c r="A63" s="23" t="s">
        <v>476</v>
      </c>
      <c r="B63" s="23">
        <v>24</v>
      </c>
      <c r="C63" s="23">
        <v>27</v>
      </c>
      <c r="D63" s="224"/>
      <c r="E63" s="224">
        <v>296220</v>
      </c>
      <c r="F63" s="224"/>
      <c r="G63" s="224">
        <v>97925</v>
      </c>
      <c r="H63" s="224"/>
      <c r="I63" s="224"/>
      <c r="J63" s="224"/>
      <c r="K63" s="224"/>
    </row>
    <row r="64" spans="1:11">
      <c r="A64" s="23" t="s">
        <v>476</v>
      </c>
      <c r="B64" s="23">
        <v>24</v>
      </c>
      <c r="C64" s="23">
        <v>31</v>
      </c>
      <c r="D64" s="224"/>
      <c r="E64" s="224">
        <v>8732</v>
      </c>
      <c r="F64" s="224"/>
      <c r="G64" s="224">
        <v>1970</v>
      </c>
      <c r="H64" s="224"/>
      <c r="I64" s="224"/>
      <c r="J64" s="224"/>
      <c r="K64" s="224"/>
    </row>
    <row r="65" spans="1:11">
      <c r="A65" s="23" t="s">
        <v>477</v>
      </c>
      <c r="B65" s="23">
        <v>21</v>
      </c>
      <c r="C65" s="23">
        <v>21</v>
      </c>
      <c r="D65" s="224"/>
      <c r="E65" s="224">
        <v>612889</v>
      </c>
      <c r="F65" s="224">
        <v>191117</v>
      </c>
      <c r="G65" s="224">
        <v>270561</v>
      </c>
      <c r="H65" s="224">
        <v>17905</v>
      </c>
      <c r="I65" s="224">
        <v>26526</v>
      </c>
      <c r="J65" s="224"/>
      <c r="K65" s="224"/>
    </row>
    <row r="66" spans="1:11">
      <c r="A66" s="23" t="s">
        <v>477</v>
      </c>
      <c r="B66" s="23">
        <v>21</v>
      </c>
      <c r="C66" s="23">
        <v>25</v>
      </c>
      <c r="D66" s="224"/>
      <c r="E66" s="224"/>
      <c r="F66" s="224">
        <v>138748</v>
      </c>
      <c r="G66" s="224">
        <v>86759</v>
      </c>
      <c r="H66" s="224"/>
      <c r="I66" s="224"/>
      <c r="J66" s="224"/>
      <c r="K66" s="224"/>
    </row>
    <row r="67" spans="1:11">
      <c r="A67" s="23" t="s">
        <v>477</v>
      </c>
      <c r="B67" s="23">
        <v>21</v>
      </c>
      <c r="C67" s="23">
        <v>26</v>
      </c>
      <c r="D67" s="224"/>
      <c r="E67" s="224">
        <v>4085551</v>
      </c>
      <c r="F67" s="224">
        <v>156491</v>
      </c>
      <c r="G67" s="224">
        <v>1552314</v>
      </c>
      <c r="H67" s="224">
        <v>14046</v>
      </c>
      <c r="I67" s="224">
        <v>59488</v>
      </c>
      <c r="J67" s="224">
        <v>764</v>
      </c>
      <c r="K67" s="224"/>
    </row>
    <row r="68" spans="1:11">
      <c r="A68" s="23" t="s">
        <v>477</v>
      </c>
      <c r="B68" s="23">
        <v>21</v>
      </c>
      <c r="C68" s="23">
        <v>27</v>
      </c>
      <c r="D68" s="224">
        <v>285</v>
      </c>
      <c r="E68" s="224">
        <v>7599649</v>
      </c>
      <c r="F68" s="224">
        <v>4522619</v>
      </c>
      <c r="G68" s="224">
        <v>5634423</v>
      </c>
      <c r="H68" s="224">
        <v>42117</v>
      </c>
      <c r="I68" s="224">
        <v>1061889</v>
      </c>
      <c r="J68" s="224">
        <v>9611</v>
      </c>
      <c r="K68" s="224"/>
    </row>
    <row r="69" spans="1:11">
      <c r="A69" s="23" t="s">
        <v>477</v>
      </c>
      <c r="B69" s="23">
        <v>21</v>
      </c>
      <c r="C69" s="23">
        <v>31</v>
      </c>
      <c r="D69" s="224"/>
      <c r="E69" s="224"/>
      <c r="F69" s="224"/>
      <c r="G69" s="224"/>
      <c r="H69" s="224">
        <v>1098</v>
      </c>
      <c r="I69" s="224">
        <v>6045</v>
      </c>
      <c r="J69" s="224">
        <v>302</v>
      </c>
      <c r="K69" s="224"/>
    </row>
    <row r="70" spans="1:11">
      <c r="A70" s="23" t="s">
        <v>477</v>
      </c>
      <c r="B70" s="23">
        <v>21</v>
      </c>
      <c r="C70" s="23">
        <v>32</v>
      </c>
      <c r="D70" s="224"/>
      <c r="E70" s="224"/>
      <c r="F70" s="224"/>
      <c r="G70" s="224"/>
      <c r="H70" s="224">
        <v>11049</v>
      </c>
      <c r="I70" s="224"/>
      <c r="J70" s="224"/>
      <c r="K70" s="224"/>
    </row>
    <row r="71" spans="1:11">
      <c r="A71" s="23" t="s">
        <v>477</v>
      </c>
      <c r="B71" s="23">
        <v>21</v>
      </c>
      <c r="C71" s="23">
        <v>33</v>
      </c>
      <c r="D71" s="224"/>
      <c r="E71" s="224"/>
      <c r="F71" s="224"/>
      <c r="G71" s="224"/>
      <c r="H71" s="224">
        <v>18456</v>
      </c>
      <c r="I71" s="224"/>
      <c r="J71" s="224"/>
      <c r="K71" s="224"/>
    </row>
    <row r="72" spans="1:11">
      <c r="A72" s="23" t="s">
        <v>477</v>
      </c>
      <c r="B72" s="23">
        <v>21</v>
      </c>
      <c r="C72" s="23">
        <v>34</v>
      </c>
      <c r="D72" s="224"/>
      <c r="E72" s="224">
        <v>177526</v>
      </c>
      <c r="F72" s="224"/>
      <c r="G72" s="224">
        <v>39968</v>
      </c>
      <c r="H72" s="224"/>
      <c r="I72" s="224"/>
      <c r="J72" s="224"/>
      <c r="K72" s="224"/>
    </row>
    <row r="73" spans="1:11">
      <c r="A73" s="23" t="s">
        <v>477</v>
      </c>
      <c r="B73" s="23">
        <v>23</v>
      </c>
      <c r="C73" s="23">
        <v>27</v>
      </c>
      <c r="D73" s="224"/>
      <c r="E73" s="224"/>
      <c r="F73" s="224">
        <v>40229</v>
      </c>
      <c r="G73" s="224">
        <v>20133</v>
      </c>
      <c r="H73" s="224">
        <v>450000</v>
      </c>
      <c r="I73" s="224"/>
      <c r="J73" s="224"/>
      <c r="K73" s="224"/>
    </row>
    <row r="74" spans="1:11">
      <c r="A74" s="23" t="s">
        <v>477</v>
      </c>
      <c r="B74" s="23">
        <v>24</v>
      </c>
      <c r="C74" s="23">
        <v>26</v>
      </c>
      <c r="D74" s="224"/>
      <c r="E74" s="224">
        <v>1203</v>
      </c>
      <c r="F74" s="224"/>
      <c r="G74" s="224">
        <v>271</v>
      </c>
      <c r="H74" s="224"/>
      <c r="I74" s="224"/>
      <c r="J74" s="224"/>
      <c r="K74" s="224"/>
    </row>
    <row r="75" spans="1:11">
      <c r="A75" s="23" t="s">
        <v>477</v>
      </c>
      <c r="B75" s="23">
        <v>24</v>
      </c>
      <c r="C75" s="23">
        <v>27</v>
      </c>
      <c r="D75" s="224"/>
      <c r="E75" s="224">
        <v>15146</v>
      </c>
      <c r="F75" s="224">
        <v>1507058</v>
      </c>
      <c r="G75" s="224">
        <v>947237</v>
      </c>
      <c r="H75" s="224"/>
      <c r="I75" s="224"/>
      <c r="J75" s="224"/>
      <c r="K75" s="224"/>
    </row>
    <row r="76" spans="1:11">
      <c r="A76" s="23" t="s">
        <v>195</v>
      </c>
      <c r="B76" s="23">
        <v>21</v>
      </c>
      <c r="C76" s="23">
        <v>21</v>
      </c>
      <c r="D76" s="224">
        <v>9300</v>
      </c>
      <c r="E76" s="224">
        <v>2105917</v>
      </c>
      <c r="F76" s="224">
        <v>457376</v>
      </c>
      <c r="G76" s="224">
        <v>869396</v>
      </c>
      <c r="H76" s="224">
        <v>20000</v>
      </c>
      <c r="I76" s="224"/>
      <c r="J76" s="224"/>
      <c r="K76" s="224"/>
    </row>
    <row r="77" spans="1:11">
      <c r="A77" s="23" t="s">
        <v>195</v>
      </c>
      <c r="B77" s="23">
        <v>21</v>
      </c>
      <c r="C77" s="23">
        <v>24</v>
      </c>
      <c r="D77" s="224">
        <v>800</v>
      </c>
      <c r="E77" s="224">
        <v>1025554</v>
      </c>
      <c r="F77" s="224"/>
      <c r="G77" s="224">
        <v>391968</v>
      </c>
      <c r="H77" s="224">
        <v>800</v>
      </c>
      <c r="I77" s="224"/>
      <c r="J77" s="224">
        <v>13000</v>
      </c>
      <c r="K77" s="224"/>
    </row>
    <row r="78" spans="1:11">
      <c r="A78" s="23" t="s">
        <v>195</v>
      </c>
      <c r="B78" s="23">
        <v>21</v>
      </c>
      <c r="C78" s="23">
        <v>25</v>
      </c>
      <c r="D78" s="224"/>
      <c r="E78" s="224"/>
      <c r="F78" s="224">
        <v>12674</v>
      </c>
      <c r="G78" s="224">
        <v>6691</v>
      </c>
      <c r="H78" s="224"/>
      <c r="I78" s="224"/>
      <c r="J78" s="224"/>
      <c r="K78" s="224"/>
    </row>
    <row r="79" spans="1:11">
      <c r="A79" s="23" t="s">
        <v>195</v>
      </c>
      <c r="B79" s="23">
        <v>21</v>
      </c>
      <c r="C79" s="23">
        <v>26</v>
      </c>
      <c r="D79" s="224">
        <v>900</v>
      </c>
      <c r="E79" s="224">
        <v>7306412</v>
      </c>
      <c r="F79" s="224">
        <v>364832</v>
      </c>
      <c r="G79" s="224">
        <v>2858295</v>
      </c>
      <c r="H79" s="224">
        <v>33725</v>
      </c>
      <c r="I79" s="224">
        <v>3150935</v>
      </c>
      <c r="J79" s="224">
        <v>8000</v>
      </c>
      <c r="K79" s="224"/>
    </row>
    <row r="80" spans="1:11">
      <c r="A80" s="23" t="s">
        <v>195</v>
      </c>
      <c r="B80" s="23">
        <v>21</v>
      </c>
      <c r="C80" s="23">
        <v>27</v>
      </c>
      <c r="D80" s="224">
        <v>8450</v>
      </c>
      <c r="E80" s="224">
        <v>10691685</v>
      </c>
      <c r="F80" s="224">
        <v>10433451</v>
      </c>
      <c r="G80" s="224">
        <v>9968161</v>
      </c>
      <c r="H80" s="224">
        <v>96775</v>
      </c>
      <c r="I80" s="224">
        <v>1741350</v>
      </c>
      <c r="J80" s="224">
        <v>76200</v>
      </c>
      <c r="K80" s="224"/>
    </row>
    <row r="81" spans="1:11">
      <c r="A81" s="23" t="s">
        <v>195</v>
      </c>
      <c r="B81" s="23">
        <v>21</v>
      </c>
      <c r="C81" s="23">
        <v>31</v>
      </c>
      <c r="D81" s="224"/>
      <c r="E81" s="224">
        <v>719585</v>
      </c>
      <c r="F81" s="224"/>
      <c r="G81" s="224">
        <v>244200</v>
      </c>
      <c r="H81" s="224"/>
      <c r="I81" s="224"/>
      <c r="J81" s="224"/>
      <c r="K81" s="224"/>
    </row>
    <row r="82" spans="1:11">
      <c r="A82" s="23" t="s">
        <v>195</v>
      </c>
      <c r="B82" s="23">
        <v>21</v>
      </c>
      <c r="C82" s="23">
        <v>33</v>
      </c>
      <c r="D82" s="224">
        <v>1300</v>
      </c>
      <c r="E82" s="224">
        <v>25186</v>
      </c>
      <c r="F82" s="224"/>
      <c r="G82" s="224">
        <v>5919</v>
      </c>
      <c r="H82" s="224">
        <v>47200</v>
      </c>
      <c r="I82" s="224"/>
      <c r="J82" s="224"/>
      <c r="K82" s="224"/>
    </row>
    <row r="83" spans="1:11">
      <c r="A83" s="23" t="s">
        <v>195</v>
      </c>
      <c r="B83" s="23">
        <v>21</v>
      </c>
      <c r="C83" s="23">
        <v>34</v>
      </c>
      <c r="D83" s="224"/>
      <c r="E83" s="224">
        <v>384505</v>
      </c>
      <c r="F83" s="224"/>
      <c r="G83" s="224">
        <v>92024</v>
      </c>
      <c r="H83" s="224"/>
      <c r="I83" s="224"/>
      <c r="J83" s="224"/>
      <c r="K83" s="224"/>
    </row>
    <row r="84" spans="1:11">
      <c r="A84" s="23" t="s">
        <v>195</v>
      </c>
      <c r="B84" s="23">
        <v>23</v>
      </c>
      <c r="C84" s="23">
        <v>26</v>
      </c>
      <c r="D84" s="224"/>
      <c r="E84" s="224">
        <v>161610</v>
      </c>
      <c r="F84" s="224"/>
      <c r="G84" s="224">
        <v>57121</v>
      </c>
      <c r="H84" s="224"/>
      <c r="I84" s="224">
        <v>166964</v>
      </c>
      <c r="J84" s="224"/>
      <c r="K84" s="224"/>
    </row>
    <row r="85" spans="1:11">
      <c r="A85" s="23" t="s">
        <v>195</v>
      </c>
      <c r="B85" s="23">
        <v>23</v>
      </c>
      <c r="C85" s="23">
        <v>27</v>
      </c>
      <c r="D85" s="224"/>
      <c r="E85" s="224">
        <v>110284</v>
      </c>
      <c r="F85" s="224"/>
      <c r="G85" s="224">
        <v>49996</v>
      </c>
      <c r="H85" s="224">
        <v>34502</v>
      </c>
      <c r="I85" s="224">
        <v>154028</v>
      </c>
      <c r="J85" s="224"/>
      <c r="K85" s="224"/>
    </row>
    <row r="86" spans="1:11">
      <c r="A86" s="23" t="s">
        <v>195</v>
      </c>
      <c r="B86" s="23">
        <v>23</v>
      </c>
      <c r="C86" s="23">
        <v>31</v>
      </c>
      <c r="D86" s="224"/>
      <c r="E86" s="224">
        <v>4514</v>
      </c>
      <c r="F86" s="224"/>
      <c r="G86" s="224">
        <v>1079</v>
      </c>
      <c r="H86" s="224"/>
      <c r="I86" s="224"/>
      <c r="J86" s="224"/>
      <c r="K86" s="224"/>
    </row>
    <row r="87" spans="1:11">
      <c r="A87" s="23" t="s">
        <v>195</v>
      </c>
      <c r="B87" s="23">
        <v>24</v>
      </c>
      <c r="C87" s="23">
        <v>24</v>
      </c>
      <c r="D87" s="224"/>
      <c r="E87" s="224"/>
      <c r="F87" s="224">
        <v>91722</v>
      </c>
      <c r="G87" s="224">
        <v>47897</v>
      </c>
      <c r="H87" s="224"/>
      <c r="I87" s="224"/>
      <c r="J87" s="224"/>
      <c r="K87" s="224"/>
    </row>
    <row r="88" spans="1:11">
      <c r="A88" s="23" t="s">
        <v>195</v>
      </c>
      <c r="B88" s="23">
        <v>24</v>
      </c>
      <c r="C88" s="23">
        <v>26</v>
      </c>
      <c r="D88" s="224"/>
      <c r="E88" s="224">
        <v>274142</v>
      </c>
      <c r="F88" s="224">
        <v>194526</v>
      </c>
      <c r="G88" s="224">
        <v>200652</v>
      </c>
      <c r="H88" s="224"/>
      <c r="I88" s="224">
        <v>800000</v>
      </c>
      <c r="J88" s="224"/>
      <c r="K88" s="224"/>
    </row>
    <row r="89" spans="1:11">
      <c r="A89" s="23" t="s">
        <v>195</v>
      </c>
      <c r="B89" s="23">
        <v>24</v>
      </c>
      <c r="C89" s="23">
        <v>27</v>
      </c>
      <c r="D89" s="224"/>
      <c r="E89" s="224">
        <v>2157670</v>
      </c>
      <c r="F89" s="224"/>
      <c r="G89" s="224">
        <v>755685</v>
      </c>
      <c r="H89" s="224">
        <v>20000</v>
      </c>
      <c r="I89" s="224">
        <v>235663</v>
      </c>
      <c r="J89" s="224"/>
      <c r="K89" s="224"/>
    </row>
    <row r="90" spans="1:11">
      <c r="A90" s="23" t="s">
        <v>195</v>
      </c>
      <c r="B90" s="23">
        <v>24</v>
      </c>
      <c r="C90" s="23">
        <v>31</v>
      </c>
      <c r="D90" s="224"/>
      <c r="E90" s="224">
        <v>47434</v>
      </c>
      <c r="F90" s="224"/>
      <c r="G90" s="224">
        <v>11312</v>
      </c>
      <c r="H90" s="224"/>
      <c r="I90" s="224"/>
      <c r="J90" s="224"/>
      <c r="K90" s="224"/>
    </row>
    <row r="91" spans="1:11">
      <c r="A91" s="23" t="s">
        <v>197</v>
      </c>
      <c r="B91" s="23">
        <v>21</v>
      </c>
      <c r="C91" s="23">
        <v>21</v>
      </c>
      <c r="D91" s="224">
        <v>1500</v>
      </c>
      <c r="E91" s="224">
        <v>455638</v>
      </c>
      <c r="F91" s="224">
        <v>348529</v>
      </c>
      <c r="G91" s="224">
        <v>312861</v>
      </c>
      <c r="H91" s="224"/>
      <c r="I91" s="224">
        <v>424729</v>
      </c>
      <c r="J91" s="224"/>
      <c r="K91" s="224"/>
    </row>
    <row r="92" spans="1:11">
      <c r="A92" s="23" t="s">
        <v>197</v>
      </c>
      <c r="B92" s="23">
        <v>21</v>
      </c>
      <c r="C92" s="23">
        <v>24</v>
      </c>
      <c r="D92" s="224"/>
      <c r="E92" s="224"/>
      <c r="F92" s="224">
        <v>365270</v>
      </c>
      <c r="G92" s="224">
        <v>296213</v>
      </c>
      <c r="H92" s="224"/>
      <c r="I92" s="224"/>
      <c r="J92" s="224"/>
      <c r="K92" s="224"/>
    </row>
    <row r="93" spans="1:11">
      <c r="A93" s="23" t="s">
        <v>197</v>
      </c>
      <c r="B93" s="23">
        <v>21</v>
      </c>
      <c r="C93" s="23">
        <v>26</v>
      </c>
      <c r="D93" s="224"/>
      <c r="E93" s="224">
        <v>3411571</v>
      </c>
      <c r="F93" s="224">
        <v>47467</v>
      </c>
      <c r="G93" s="224">
        <v>1324514</v>
      </c>
      <c r="H93" s="224">
        <v>6570</v>
      </c>
      <c r="I93" s="224"/>
      <c r="J93" s="224">
        <v>1350</v>
      </c>
      <c r="K93" s="224"/>
    </row>
    <row r="94" spans="1:11">
      <c r="A94" s="23" t="s">
        <v>197</v>
      </c>
      <c r="B94" s="23">
        <v>21</v>
      </c>
      <c r="C94" s="23">
        <v>27</v>
      </c>
      <c r="D94" s="224"/>
      <c r="E94" s="224">
        <v>8835604</v>
      </c>
      <c r="F94" s="224">
        <v>6765345</v>
      </c>
      <c r="G94" s="224">
        <v>6860681</v>
      </c>
      <c r="H94" s="224">
        <v>139840</v>
      </c>
      <c r="I94" s="224">
        <v>623200</v>
      </c>
      <c r="J94" s="224">
        <v>1150</v>
      </c>
      <c r="K94" s="224"/>
    </row>
    <row r="95" spans="1:11">
      <c r="A95" s="23" t="s">
        <v>197</v>
      </c>
      <c r="B95" s="23">
        <v>21</v>
      </c>
      <c r="C95" s="23">
        <v>31</v>
      </c>
      <c r="D95" s="224"/>
      <c r="E95" s="224">
        <v>300031</v>
      </c>
      <c r="F95" s="224"/>
      <c r="G95" s="224">
        <v>77411</v>
      </c>
      <c r="H95" s="224"/>
      <c r="I95" s="224">
        <v>15000</v>
      </c>
      <c r="J95" s="224">
        <v>5000</v>
      </c>
      <c r="K95" s="224"/>
    </row>
    <row r="96" spans="1:11">
      <c r="A96" s="23" t="s">
        <v>197</v>
      </c>
      <c r="B96" s="23">
        <v>24</v>
      </c>
      <c r="C96" s="23">
        <v>26</v>
      </c>
      <c r="D96" s="224"/>
      <c r="E96" s="224">
        <v>762679</v>
      </c>
      <c r="F96" s="224"/>
      <c r="G96" s="224">
        <v>272225</v>
      </c>
      <c r="H96" s="224"/>
      <c r="I96" s="224"/>
      <c r="J96" s="224"/>
      <c r="K96" s="224"/>
    </row>
    <row r="97" spans="1:11">
      <c r="A97" s="23" t="s">
        <v>197</v>
      </c>
      <c r="B97" s="23">
        <v>24</v>
      </c>
      <c r="C97" s="23">
        <v>27</v>
      </c>
      <c r="D97" s="224"/>
      <c r="E97" s="224">
        <v>807543</v>
      </c>
      <c r="F97" s="224">
        <v>46540</v>
      </c>
      <c r="G97" s="224">
        <v>300913</v>
      </c>
      <c r="H97" s="224">
        <v>56280</v>
      </c>
      <c r="I97" s="224"/>
      <c r="J97" s="224"/>
      <c r="K97" s="224"/>
    </row>
    <row r="98" spans="1:11">
      <c r="A98" s="23" t="s">
        <v>197</v>
      </c>
      <c r="B98" s="23">
        <v>24</v>
      </c>
      <c r="C98" s="23">
        <v>31</v>
      </c>
      <c r="D98" s="224"/>
      <c r="E98" s="224">
        <v>22853</v>
      </c>
      <c r="F98" s="224"/>
      <c r="G98" s="224">
        <v>5257</v>
      </c>
      <c r="H98" s="224"/>
      <c r="I98" s="224"/>
      <c r="J98" s="224"/>
      <c r="K98" s="224"/>
    </row>
    <row r="99" spans="1:11">
      <c r="A99" s="23" t="s">
        <v>201</v>
      </c>
      <c r="B99" s="23">
        <v>21</v>
      </c>
      <c r="C99" s="23">
        <v>21</v>
      </c>
      <c r="D99" s="224">
        <v>3300</v>
      </c>
      <c r="E99" s="224">
        <v>1830004</v>
      </c>
      <c r="F99" s="224">
        <v>150735</v>
      </c>
      <c r="G99" s="224">
        <v>651934</v>
      </c>
      <c r="H99" s="224"/>
      <c r="I99" s="224"/>
      <c r="J99" s="224"/>
      <c r="K99" s="224"/>
    </row>
    <row r="100" spans="1:11">
      <c r="A100" s="23" t="s">
        <v>201</v>
      </c>
      <c r="B100" s="23">
        <v>21</v>
      </c>
      <c r="C100" s="23">
        <v>24</v>
      </c>
      <c r="D100" s="224">
        <v>100</v>
      </c>
      <c r="E100" s="224">
        <v>185271</v>
      </c>
      <c r="F100" s="224">
        <v>89578</v>
      </c>
      <c r="G100" s="224">
        <v>98686</v>
      </c>
      <c r="H100" s="224"/>
      <c r="I100" s="224"/>
      <c r="J100" s="224"/>
      <c r="K100" s="224"/>
    </row>
    <row r="101" spans="1:11">
      <c r="A101" s="23" t="s">
        <v>201</v>
      </c>
      <c r="B101" s="23">
        <v>21</v>
      </c>
      <c r="C101" s="23">
        <v>25</v>
      </c>
      <c r="D101" s="224"/>
      <c r="E101" s="224"/>
      <c r="F101" s="224">
        <v>653476</v>
      </c>
      <c r="G101" s="224">
        <v>271770</v>
      </c>
      <c r="H101" s="224"/>
      <c r="I101" s="224"/>
      <c r="J101" s="224"/>
      <c r="K101" s="224"/>
    </row>
    <row r="102" spans="1:11">
      <c r="A102" s="23" t="s">
        <v>201</v>
      </c>
      <c r="B102" s="23">
        <v>21</v>
      </c>
      <c r="C102" s="23">
        <v>26</v>
      </c>
      <c r="D102" s="224">
        <v>200</v>
      </c>
      <c r="E102" s="224">
        <v>2751715</v>
      </c>
      <c r="F102" s="224">
        <v>620289</v>
      </c>
      <c r="G102" s="224">
        <v>1195926</v>
      </c>
      <c r="H102" s="224"/>
      <c r="I102" s="224">
        <v>3797980</v>
      </c>
      <c r="J102" s="224"/>
      <c r="K102" s="224"/>
    </row>
    <row r="103" spans="1:11">
      <c r="A103" s="23" t="s">
        <v>201</v>
      </c>
      <c r="B103" s="23">
        <v>21</v>
      </c>
      <c r="C103" s="23">
        <v>27</v>
      </c>
      <c r="D103" s="224">
        <v>125550</v>
      </c>
      <c r="E103" s="224">
        <v>10783246</v>
      </c>
      <c r="F103" s="224">
        <v>6560733</v>
      </c>
      <c r="G103" s="224">
        <v>8428270</v>
      </c>
      <c r="H103" s="224">
        <v>84100</v>
      </c>
      <c r="I103" s="224">
        <v>1504763</v>
      </c>
      <c r="J103" s="224"/>
      <c r="K103" s="224"/>
    </row>
    <row r="104" spans="1:11">
      <c r="A104" s="23" t="s">
        <v>201</v>
      </c>
      <c r="B104" s="23">
        <v>21</v>
      </c>
      <c r="C104" s="23">
        <v>29</v>
      </c>
      <c r="D104" s="224"/>
      <c r="E104" s="224"/>
      <c r="F104" s="224"/>
      <c r="G104" s="224"/>
      <c r="H104" s="224"/>
      <c r="I104" s="224">
        <v>1250000</v>
      </c>
      <c r="J104" s="224"/>
      <c r="K104" s="224"/>
    </row>
    <row r="105" spans="1:11">
      <c r="A105" s="23" t="s">
        <v>201</v>
      </c>
      <c r="B105" s="23">
        <v>21</v>
      </c>
      <c r="C105" s="23">
        <v>31</v>
      </c>
      <c r="D105" s="224"/>
      <c r="E105" s="224">
        <v>106014</v>
      </c>
      <c r="F105" s="224"/>
      <c r="G105" s="224">
        <v>36953</v>
      </c>
      <c r="H105" s="224"/>
      <c r="I105" s="224"/>
      <c r="J105" s="224"/>
      <c r="K105" s="224"/>
    </row>
    <row r="106" spans="1:11">
      <c r="A106" s="23" t="s">
        <v>201</v>
      </c>
      <c r="B106" s="23">
        <v>24</v>
      </c>
      <c r="C106" s="23">
        <v>21</v>
      </c>
      <c r="D106" s="224"/>
      <c r="E106" s="224"/>
      <c r="F106" s="224">
        <v>343017</v>
      </c>
      <c r="G106" s="224">
        <v>149366</v>
      </c>
      <c r="H106" s="224"/>
      <c r="I106" s="224"/>
      <c r="J106" s="224"/>
      <c r="K106" s="224"/>
    </row>
    <row r="107" spans="1:11">
      <c r="A107" s="23" t="s">
        <v>201</v>
      </c>
      <c r="B107" s="23">
        <v>24</v>
      </c>
      <c r="C107" s="23">
        <v>26</v>
      </c>
      <c r="D107" s="224"/>
      <c r="E107" s="224"/>
      <c r="F107" s="224">
        <v>69250</v>
      </c>
      <c r="G107" s="224">
        <v>39602</v>
      </c>
      <c r="H107" s="224"/>
      <c r="I107" s="224"/>
      <c r="J107" s="224"/>
      <c r="K107" s="224"/>
    </row>
    <row r="108" spans="1:11">
      <c r="A108" s="23" t="s">
        <v>201</v>
      </c>
      <c r="B108" s="23">
        <v>24</v>
      </c>
      <c r="C108" s="23">
        <v>27</v>
      </c>
      <c r="D108" s="224"/>
      <c r="E108" s="224">
        <v>1088659</v>
      </c>
      <c r="F108" s="224">
        <v>1116677</v>
      </c>
      <c r="G108" s="224">
        <v>1066267</v>
      </c>
      <c r="H108" s="224">
        <v>23732</v>
      </c>
      <c r="I108" s="224">
        <v>10000</v>
      </c>
      <c r="J108" s="224"/>
      <c r="K108" s="224"/>
    </row>
    <row r="109" spans="1:11">
      <c r="A109" s="23" t="s">
        <v>201</v>
      </c>
      <c r="B109" s="23">
        <v>29</v>
      </c>
      <c r="C109" s="23">
        <v>26</v>
      </c>
      <c r="D109" s="224"/>
      <c r="E109" s="224"/>
      <c r="F109" s="224"/>
      <c r="G109" s="224"/>
      <c r="H109" s="224">
        <v>20000</v>
      </c>
      <c r="I109" s="224"/>
      <c r="J109" s="224"/>
      <c r="K109" s="224"/>
    </row>
    <row r="110" spans="1:11">
      <c r="A110" s="23" t="s">
        <v>201</v>
      </c>
      <c r="B110" s="23">
        <v>29</v>
      </c>
      <c r="C110" s="23">
        <v>27</v>
      </c>
      <c r="D110" s="224"/>
      <c r="E110" s="224"/>
      <c r="F110" s="224"/>
      <c r="G110" s="224"/>
      <c r="H110" s="224">
        <v>25413</v>
      </c>
      <c r="I110" s="224"/>
      <c r="J110" s="224"/>
      <c r="K110" s="224"/>
    </row>
    <row r="111" spans="1:11">
      <c r="A111" s="23" t="s">
        <v>201</v>
      </c>
      <c r="B111" s="23">
        <v>29</v>
      </c>
      <c r="C111" s="23">
        <v>33</v>
      </c>
      <c r="D111" s="224"/>
      <c r="E111" s="224"/>
      <c r="F111" s="224"/>
      <c r="G111" s="224"/>
      <c r="H111" s="224">
        <v>20000</v>
      </c>
      <c r="I111" s="224"/>
      <c r="J111" s="224"/>
      <c r="K111" s="224"/>
    </row>
    <row r="112" spans="1:11">
      <c r="A112" s="23" t="s">
        <v>203</v>
      </c>
      <c r="B112" s="23">
        <v>21</v>
      </c>
      <c r="C112" s="23">
        <v>27</v>
      </c>
      <c r="D112" s="224"/>
      <c r="E112" s="224"/>
      <c r="F112" s="224"/>
      <c r="G112" s="224"/>
      <c r="H112" s="224"/>
      <c r="I112" s="224">
        <v>200000</v>
      </c>
      <c r="J112" s="224"/>
      <c r="K112" s="224"/>
    </row>
    <row r="113" spans="1:11">
      <c r="A113" s="23" t="s">
        <v>14</v>
      </c>
      <c r="B113" s="23">
        <v>21</v>
      </c>
      <c r="C113" s="23">
        <v>21</v>
      </c>
      <c r="D113" s="224"/>
      <c r="E113" s="224">
        <v>133592</v>
      </c>
      <c r="F113" s="224">
        <v>68045</v>
      </c>
      <c r="G113" s="224">
        <v>69639</v>
      </c>
      <c r="H113" s="224">
        <v>3000</v>
      </c>
      <c r="I113" s="224">
        <v>17000</v>
      </c>
      <c r="J113" s="224">
        <v>2000</v>
      </c>
      <c r="K113" s="224"/>
    </row>
    <row r="114" spans="1:11">
      <c r="A114" s="23" t="s">
        <v>14</v>
      </c>
      <c r="B114" s="23">
        <v>21</v>
      </c>
      <c r="C114" s="23">
        <v>26</v>
      </c>
      <c r="D114" s="224"/>
      <c r="E114" s="224">
        <v>1030252</v>
      </c>
      <c r="F114" s="224">
        <v>42660</v>
      </c>
      <c r="G114" s="224">
        <v>408946</v>
      </c>
      <c r="H114" s="224">
        <v>15895</v>
      </c>
      <c r="I114" s="224">
        <v>25000</v>
      </c>
      <c r="J114" s="224">
        <v>2883</v>
      </c>
      <c r="K114" s="224"/>
    </row>
    <row r="115" spans="1:11">
      <c r="A115" s="23" t="s">
        <v>14</v>
      </c>
      <c r="B115" s="23">
        <v>21</v>
      </c>
      <c r="C115" s="23">
        <v>27</v>
      </c>
      <c r="D115" s="224"/>
      <c r="E115" s="224">
        <v>1371838</v>
      </c>
      <c r="F115" s="224">
        <v>1206799</v>
      </c>
      <c r="G115" s="224">
        <v>1236898</v>
      </c>
      <c r="H115" s="224">
        <v>14296</v>
      </c>
      <c r="I115" s="224">
        <v>927300</v>
      </c>
      <c r="J115" s="224">
        <v>311</v>
      </c>
      <c r="K115" s="224"/>
    </row>
    <row r="116" spans="1:11">
      <c r="A116" s="23" t="s">
        <v>14</v>
      </c>
      <c r="B116" s="23">
        <v>21</v>
      </c>
      <c r="C116" s="23">
        <v>31</v>
      </c>
      <c r="D116" s="224"/>
      <c r="E116" s="224">
        <v>5500</v>
      </c>
      <c r="F116" s="224"/>
      <c r="G116" s="224">
        <v>1275</v>
      </c>
      <c r="H116" s="224"/>
      <c r="I116" s="224"/>
      <c r="J116" s="224"/>
      <c r="K116" s="224"/>
    </row>
    <row r="117" spans="1:11">
      <c r="A117" s="23" t="s">
        <v>14</v>
      </c>
      <c r="B117" s="23">
        <v>24</v>
      </c>
      <c r="C117" s="23">
        <v>26</v>
      </c>
      <c r="D117" s="224"/>
      <c r="E117" s="224"/>
      <c r="F117" s="224">
        <v>211</v>
      </c>
      <c r="G117" s="224">
        <v>22</v>
      </c>
      <c r="H117" s="224"/>
      <c r="I117" s="224"/>
      <c r="J117" s="224"/>
      <c r="K117" s="224"/>
    </row>
    <row r="118" spans="1:11">
      <c r="A118" s="23" t="s">
        <v>14</v>
      </c>
      <c r="B118" s="23">
        <v>24</v>
      </c>
      <c r="C118" s="23">
        <v>27</v>
      </c>
      <c r="D118" s="224"/>
      <c r="E118" s="224">
        <v>306943</v>
      </c>
      <c r="F118" s="224">
        <v>7853</v>
      </c>
      <c r="G118" s="224">
        <v>119240</v>
      </c>
      <c r="H118" s="224"/>
      <c r="I118" s="224"/>
      <c r="J118" s="224"/>
      <c r="K118" s="224"/>
    </row>
    <row r="119" spans="1:11">
      <c r="A119" s="23" t="s">
        <v>16</v>
      </c>
      <c r="B119" s="23">
        <v>21</v>
      </c>
      <c r="C119" s="23">
        <v>27</v>
      </c>
      <c r="D119" s="224"/>
      <c r="E119" s="224">
        <v>65082</v>
      </c>
      <c r="F119" s="224">
        <v>43404</v>
      </c>
      <c r="G119" s="224">
        <v>59731</v>
      </c>
      <c r="H119" s="224">
        <v>547</v>
      </c>
      <c r="I119" s="224">
        <v>25000</v>
      </c>
      <c r="J119" s="224"/>
      <c r="K119" s="224"/>
    </row>
    <row r="120" spans="1:11">
      <c r="A120" s="23" t="s">
        <v>16</v>
      </c>
      <c r="B120" s="23">
        <v>21</v>
      </c>
      <c r="C120" s="23">
        <v>29</v>
      </c>
      <c r="D120" s="224"/>
      <c r="E120" s="224"/>
      <c r="F120" s="224"/>
      <c r="G120" s="224"/>
      <c r="H120" s="224"/>
      <c r="I120" s="224">
        <v>100000</v>
      </c>
      <c r="J120" s="224"/>
      <c r="K120" s="224"/>
    </row>
    <row r="121" spans="1:11">
      <c r="A121" s="23" t="s">
        <v>16</v>
      </c>
      <c r="B121" s="23">
        <v>24</v>
      </c>
      <c r="C121" s="23">
        <v>26</v>
      </c>
      <c r="D121" s="224"/>
      <c r="E121" s="224"/>
      <c r="F121" s="224"/>
      <c r="G121" s="224"/>
      <c r="H121" s="224"/>
      <c r="I121" s="224">
        <v>29184</v>
      </c>
      <c r="J121" s="224"/>
      <c r="K121" s="224"/>
    </row>
    <row r="122" spans="1:11">
      <c r="A122" s="23" t="s">
        <v>524</v>
      </c>
      <c r="B122" s="23">
        <v>21</v>
      </c>
      <c r="C122" s="23">
        <v>21</v>
      </c>
      <c r="D122" s="224"/>
      <c r="E122" s="224">
        <v>236273</v>
      </c>
      <c r="F122" s="224">
        <v>98302</v>
      </c>
      <c r="G122" s="224">
        <v>110635</v>
      </c>
      <c r="H122" s="224"/>
      <c r="I122" s="224"/>
      <c r="J122" s="224"/>
      <c r="K122" s="224"/>
    </row>
    <row r="123" spans="1:11">
      <c r="A123" s="23" t="s">
        <v>524</v>
      </c>
      <c r="B123" s="23">
        <v>21</v>
      </c>
      <c r="C123" s="23">
        <v>25</v>
      </c>
      <c r="D123" s="224"/>
      <c r="E123" s="224"/>
      <c r="F123" s="224">
        <v>130653</v>
      </c>
      <c r="G123" s="224">
        <v>82698</v>
      </c>
      <c r="H123" s="224"/>
      <c r="I123" s="224"/>
      <c r="J123" s="224"/>
      <c r="K123" s="224"/>
    </row>
    <row r="124" spans="1:11">
      <c r="A124" s="23" t="s">
        <v>524</v>
      </c>
      <c r="B124" s="23">
        <v>21</v>
      </c>
      <c r="C124" s="23">
        <v>26</v>
      </c>
      <c r="D124" s="224"/>
      <c r="E124" s="224">
        <v>1777459</v>
      </c>
      <c r="F124" s="224">
        <v>119231</v>
      </c>
      <c r="G124" s="224">
        <v>691317</v>
      </c>
      <c r="H124" s="224"/>
      <c r="I124" s="224">
        <v>1100000</v>
      </c>
      <c r="J124" s="224"/>
      <c r="K124" s="224"/>
    </row>
    <row r="125" spans="1:11">
      <c r="A125" s="23" t="s">
        <v>524</v>
      </c>
      <c r="B125" s="23">
        <v>21</v>
      </c>
      <c r="C125" s="23">
        <v>27</v>
      </c>
      <c r="D125" s="224"/>
      <c r="E125" s="224">
        <v>3103618</v>
      </c>
      <c r="F125" s="224">
        <v>1863783</v>
      </c>
      <c r="G125" s="224">
        <v>2120702</v>
      </c>
      <c r="H125" s="224">
        <v>125000</v>
      </c>
      <c r="I125" s="224"/>
      <c r="J125" s="224"/>
      <c r="K125" s="224"/>
    </row>
    <row r="126" spans="1:11">
      <c r="A126" s="23" t="s">
        <v>524</v>
      </c>
      <c r="B126" s="23">
        <v>21</v>
      </c>
      <c r="C126" s="23">
        <v>31</v>
      </c>
      <c r="D126" s="224"/>
      <c r="E126" s="224">
        <v>53239</v>
      </c>
      <c r="F126" s="224"/>
      <c r="G126" s="224">
        <v>12138</v>
      </c>
      <c r="H126" s="224"/>
      <c r="I126" s="224"/>
      <c r="J126" s="224"/>
      <c r="K126" s="224"/>
    </row>
    <row r="127" spans="1:11">
      <c r="A127" s="23" t="s">
        <v>524</v>
      </c>
      <c r="B127" s="23">
        <v>21</v>
      </c>
      <c r="C127" s="23">
        <v>34</v>
      </c>
      <c r="D127" s="224"/>
      <c r="E127" s="224">
        <v>78082</v>
      </c>
      <c r="F127" s="224"/>
      <c r="G127" s="224">
        <v>18146</v>
      </c>
      <c r="H127" s="224"/>
      <c r="I127" s="224"/>
      <c r="J127" s="224"/>
      <c r="K127" s="224"/>
    </row>
    <row r="128" spans="1:11">
      <c r="A128" s="23" t="s">
        <v>524</v>
      </c>
      <c r="B128" s="23">
        <v>23</v>
      </c>
      <c r="C128" s="23">
        <v>26</v>
      </c>
      <c r="D128" s="224"/>
      <c r="E128" s="224">
        <v>92391</v>
      </c>
      <c r="F128" s="224">
        <v>40301</v>
      </c>
      <c r="G128" s="224">
        <v>56976</v>
      </c>
      <c r="H128" s="224"/>
      <c r="I128" s="224"/>
      <c r="J128" s="224"/>
      <c r="K128" s="224"/>
    </row>
    <row r="129" spans="1:11">
      <c r="A129" s="23" t="s">
        <v>524</v>
      </c>
      <c r="B129" s="23">
        <v>23</v>
      </c>
      <c r="C129" s="23">
        <v>27</v>
      </c>
      <c r="D129" s="224"/>
      <c r="E129" s="224"/>
      <c r="F129" s="224"/>
      <c r="G129" s="224"/>
      <c r="H129" s="224">
        <v>43851</v>
      </c>
      <c r="I129" s="224"/>
      <c r="J129" s="224"/>
      <c r="K129" s="224"/>
    </row>
    <row r="130" spans="1:11">
      <c r="A130" s="23" t="s">
        <v>524</v>
      </c>
      <c r="B130" s="23">
        <v>23</v>
      </c>
      <c r="C130" s="23">
        <v>31</v>
      </c>
      <c r="D130" s="224"/>
      <c r="E130" s="224">
        <v>2584</v>
      </c>
      <c r="F130" s="224"/>
      <c r="G130" s="224"/>
      <c r="H130" s="224"/>
      <c r="I130" s="224"/>
      <c r="J130" s="224"/>
      <c r="K130" s="224"/>
    </row>
    <row r="131" spans="1:11">
      <c r="A131" s="23" t="s">
        <v>524</v>
      </c>
      <c r="B131" s="23">
        <v>24</v>
      </c>
      <c r="C131" s="23">
        <v>26</v>
      </c>
      <c r="D131" s="224"/>
      <c r="E131" s="224"/>
      <c r="F131" s="224"/>
      <c r="G131" s="224">
        <v>56375</v>
      </c>
      <c r="H131" s="224"/>
      <c r="I131" s="224"/>
      <c r="J131" s="224"/>
      <c r="K131" s="224"/>
    </row>
    <row r="132" spans="1:11">
      <c r="A132" s="23" t="s">
        <v>524</v>
      </c>
      <c r="B132" s="23">
        <v>24</v>
      </c>
      <c r="C132" s="23">
        <v>27</v>
      </c>
      <c r="D132" s="224"/>
      <c r="E132" s="224">
        <v>694554</v>
      </c>
      <c r="F132" s="224"/>
      <c r="G132" s="224">
        <v>192260</v>
      </c>
      <c r="H132" s="224">
        <v>221768</v>
      </c>
      <c r="I132" s="224"/>
      <c r="J132" s="224"/>
      <c r="K132" s="224"/>
    </row>
    <row r="133" spans="1:11">
      <c r="A133" s="23" t="s">
        <v>524</v>
      </c>
      <c r="B133" s="23">
        <v>24</v>
      </c>
      <c r="C133" s="23">
        <v>31</v>
      </c>
      <c r="D133" s="224"/>
      <c r="E133" s="224">
        <v>18985</v>
      </c>
      <c r="F133" s="224"/>
      <c r="G133" s="224">
        <v>5125</v>
      </c>
      <c r="H133" s="224"/>
      <c r="I133" s="224"/>
      <c r="J133" s="224"/>
      <c r="K133" s="224"/>
    </row>
    <row r="134" spans="1:11">
      <c r="A134" s="23" t="s">
        <v>524</v>
      </c>
      <c r="B134" s="23">
        <v>29</v>
      </c>
      <c r="C134" s="23">
        <v>21</v>
      </c>
      <c r="D134" s="224"/>
      <c r="E134" s="224"/>
      <c r="F134" s="224"/>
      <c r="G134" s="224"/>
      <c r="H134" s="224">
        <v>20000</v>
      </c>
      <c r="I134" s="224"/>
      <c r="J134" s="224"/>
      <c r="K134" s="224"/>
    </row>
    <row r="135" spans="1:11">
      <c r="A135" s="23" t="s">
        <v>526</v>
      </c>
      <c r="B135" s="23">
        <v>21</v>
      </c>
      <c r="C135" s="23">
        <v>21</v>
      </c>
      <c r="D135" s="224"/>
      <c r="E135" s="224">
        <v>28750</v>
      </c>
      <c r="F135" s="224">
        <v>17892</v>
      </c>
      <c r="G135" s="224">
        <v>18339</v>
      </c>
      <c r="H135" s="224">
        <v>750</v>
      </c>
      <c r="I135" s="224">
        <v>300</v>
      </c>
      <c r="J135" s="224"/>
      <c r="K135" s="224"/>
    </row>
    <row r="136" spans="1:11">
      <c r="A136" s="23" t="s">
        <v>526</v>
      </c>
      <c r="B136" s="23">
        <v>21</v>
      </c>
      <c r="C136" s="23">
        <v>26</v>
      </c>
      <c r="D136" s="224"/>
      <c r="E136" s="224">
        <v>195035</v>
      </c>
      <c r="F136" s="224">
        <v>40898</v>
      </c>
      <c r="G136" s="224">
        <v>90742</v>
      </c>
      <c r="H136" s="224">
        <v>1250</v>
      </c>
      <c r="I136" s="224">
        <v>60250</v>
      </c>
      <c r="J136" s="224">
        <v>2500</v>
      </c>
      <c r="K136" s="224"/>
    </row>
    <row r="137" spans="1:11">
      <c r="A137" s="23" t="s">
        <v>526</v>
      </c>
      <c r="B137" s="23">
        <v>21</v>
      </c>
      <c r="C137" s="23">
        <v>27</v>
      </c>
      <c r="D137" s="224">
        <v>7600</v>
      </c>
      <c r="E137" s="224">
        <v>303261</v>
      </c>
      <c r="F137" s="224">
        <v>218989</v>
      </c>
      <c r="G137" s="224">
        <v>254130</v>
      </c>
      <c r="H137" s="224">
        <v>11750</v>
      </c>
      <c r="I137" s="224">
        <v>10650</v>
      </c>
      <c r="J137" s="224"/>
      <c r="K137" s="224"/>
    </row>
    <row r="138" spans="1:11">
      <c r="A138" s="23" t="s">
        <v>526</v>
      </c>
      <c r="B138" s="23">
        <v>21</v>
      </c>
      <c r="C138" s="23">
        <v>31</v>
      </c>
      <c r="D138" s="224"/>
      <c r="E138" s="224"/>
      <c r="F138" s="224">
        <v>492</v>
      </c>
      <c r="G138" s="224">
        <v>37</v>
      </c>
      <c r="H138" s="224"/>
      <c r="I138" s="224">
        <v>3500</v>
      </c>
      <c r="J138" s="224"/>
      <c r="K138" s="224"/>
    </row>
    <row r="139" spans="1:11">
      <c r="A139" s="23" t="s">
        <v>526</v>
      </c>
      <c r="B139" s="23">
        <v>21</v>
      </c>
      <c r="C139" s="23">
        <v>32</v>
      </c>
      <c r="D139" s="224"/>
      <c r="E139" s="224"/>
      <c r="F139" s="224"/>
      <c r="G139" s="224"/>
      <c r="H139" s="224">
        <v>3000</v>
      </c>
      <c r="I139" s="224">
        <v>5000</v>
      </c>
      <c r="J139" s="224"/>
      <c r="K139" s="224"/>
    </row>
    <row r="140" spans="1:11">
      <c r="A140" s="23" t="s">
        <v>526</v>
      </c>
      <c r="B140" s="23">
        <v>21</v>
      </c>
      <c r="C140" s="23">
        <v>33</v>
      </c>
      <c r="D140" s="224"/>
      <c r="E140" s="224"/>
      <c r="F140" s="224"/>
      <c r="G140" s="224"/>
      <c r="H140" s="224">
        <v>2000</v>
      </c>
      <c r="I140" s="224"/>
      <c r="J140" s="224"/>
      <c r="K140" s="224"/>
    </row>
    <row r="141" spans="1:11">
      <c r="A141" s="23" t="s">
        <v>526</v>
      </c>
      <c r="B141" s="23">
        <v>23</v>
      </c>
      <c r="C141" s="23">
        <v>27</v>
      </c>
      <c r="D141" s="224"/>
      <c r="E141" s="224"/>
      <c r="F141" s="224">
        <v>35415</v>
      </c>
      <c r="G141" s="224">
        <v>22553</v>
      </c>
      <c r="H141" s="224"/>
      <c r="I141" s="224"/>
      <c r="J141" s="224"/>
      <c r="K141" s="224"/>
    </row>
    <row r="142" spans="1:11">
      <c r="A142" s="23" t="s">
        <v>526</v>
      </c>
      <c r="B142" s="23">
        <v>24</v>
      </c>
      <c r="C142" s="23">
        <v>27</v>
      </c>
      <c r="D142" s="224"/>
      <c r="E142" s="224"/>
      <c r="F142" s="224">
        <v>145082</v>
      </c>
      <c r="G142" s="224">
        <v>92711</v>
      </c>
      <c r="H142" s="224">
        <v>859</v>
      </c>
      <c r="I142" s="224"/>
      <c r="J142" s="224"/>
      <c r="K142" s="224"/>
    </row>
    <row r="143" spans="1:11">
      <c r="A143" s="23" t="s">
        <v>528</v>
      </c>
      <c r="B143" s="23">
        <v>21</v>
      </c>
      <c r="C143" s="23">
        <v>21</v>
      </c>
      <c r="D143" s="224"/>
      <c r="E143" s="224"/>
      <c r="F143" s="224">
        <v>65807</v>
      </c>
      <c r="G143" s="224">
        <v>25708</v>
      </c>
      <c r="H143" s="224">
        <v>500</v>
      </c>
      <c r="I143" s="224"/>
      <c r="J143" s="224"/>
      <c r="K143" s="224"/>
    </row>
    <row r="144" spans="1:11">
      <c r="A144" s="23" t="s">
        <v>528</v>
      </c>
      <c r="B144" s="23">
        <v>21</v>
      </c>
      <c r="C144" s="23">
        <v>27</v>
      </c>
      <c r="D144" s="224"/>
      <c r="E144" s="224">
        <v>179369</v>
      </c>
      <c r="F144" s="224">
        <v>206690</v>
      </c>
      <c r="G144" s="224">
        <v>163203</v>
      </c>
      <c r="H144" s="224">
        <v>8088</v>
      </c>
      <c r="I144" s="224">
        <v>349592</v>
      </c>
      <c r="J144" s="224">
        <v>2000</v>
      </c>
      <c r="K144" s="224"/>
    </row>
    <row r="145" spans="1:11">
      <c r="A145" s="23" t="s">
        <v>528</v>
      </c>
      <c r="B145" s="23">
        <v>21</v>
      </c>
      <c r="C145" s="23">
        <v>31</v>
      </c>
      <c r="D145" s="224"/>
      <c r="E145" s="224"/>
      <c r="F145" s="224"/>
      <c r="G145" s="224"/>
      <c r="H145" s="224"/>
      <c r="I145" s="224">
        <v>4000</v>
      </c>
      <c r="J145" s="224"/>
      <c r="K145" s="224"/>
    </row>
    <row r="146" spans="1:11">
      <c r="A146" s="23" t="s">
        <v>528</v>
      </c>
      <c r="B146" s="23">
        <v>21</v>
      </c>
      <c r="C146" s="23">
        <v>32</v>
      </c>
      <c r="D146" s="224"/>
      <c r="E146" s="224"/>
      <c r="F146" s="224"/>
      <c r="G146" s="224"/>
      <c r="H146" s="224"/>
      <c r="I146" s="224">
        <v>6000</v>
      </c>
      <c r="J146" s="224"/>
      <c r="K146" s="224"/>
    </row>
    <row r="147" spans="1:11">
      <c r="A147" s="23" t="s">
        <v>528</v>
      </c>
      <c r="B147" s="23">
        <v>24</v>
      </c>
      <c r="C147" s="23">
        <v>21</v>
      </c>
      <c r="D147" s="224"/>
      <c r="E147" s="224"/>
      <c r="F147" s="224"/>
      <c r="G147" s="224"/>
      <c r="H147" s="224">
        <v>31054</v>
      </c>
      <c r="I147" s="224"/>
      <c r="J147" s="224"/>
      <c r="K147" s="224"/>
    </row>
    <row r="148" spans="1:11">
      <c r="A148" s="23" t="s">
        <v>528</v>
      </c>
      <c r="B148" s="23">
        <v>24</v>
      </c>
      <c r="C148" s="23">
        <v>27</v>
      </c>
      <c r="D148" s="224"/>
      <c r="E148" s="224"/>
      <c r="F148" s="224">
        <v>88289</v>
      </c>
      <c r="G148" s="224">
        <v>56983</v>
      </c>
      <c r="H148" s="224"/>
      <c r="I148" s="224"/>
      <c r="J148" s="224"/>
      <c r="K148" s="224"/>
    </row>
    <row r="149" spans="1:11">
      <c r="A149" s="23" t="s">
        <v>530</v>
      </c>
      <c r="B149" s="23">
        <v>21</v>
      </c>
      <c r="C149" s="23">
        <v>21</v>
      </c>
      <c r="D149" s="224"/>
      <c r="E149" s="224">
        <v>12149</v>
      </c>
      <c r="F149" s="224"/>
      <c r="G149" s="224">
        <v>3992</v>
      </c>
      <c r="H149" s="224"/>
      <c r="I149" s="224"/>
      <c r="J149" s="224">
        <v>423</v>
      </c>
      <c r="K149" s="224"/>
    </row>
    <row r="150" spans="1:11">
      <c r="A150" s="23" t="s">
        <v>530</v>
      </c>
      <c r="B150" s="23">
        <v>21</v>
      </c>
      <c r="C150" s="23">
        <v>26</v>
      </c>
      <c r="D150" s="224"/>
      <c r="E150" s="224"/>
      <c r="F150" s="224">
        <v>246</v>
      </c>
      <c r="G150" s="224">
        <v>19</v>
      </c>
      <c r="H150" s="224"/>
      <c r="I150" s="224">
        <v>2800</v>
      </c>
      <c r="J150" s="224"/>
      <c r="K150" s="224"/>
    </row>
    <row r="151" spans="1:11">
      <c r="A151" s="23" t="s">
        <v>530</v>
      </c>
      <c r="B151" s="23">
        <v>21</v>
      </c>
      <c r="C151" s="23">
        <v>27</v>
      </c>
      <c r="D151" s="224"/>
      <c r="E151" s="224">
        <v>32270</v>
      </c>
      <c r="F151" s="224">
        <v>25335</v>
      </c>
      <c r="G151" s="224">
        <v>27230</v>
      </c>
      <c r="H151" s="224">
        <v>787</v>
      </c>
      <c r="I151" s="224">
        <v>100</v>
      </c>
      <c r="J151" s="224">
        <v>150</v>
      </c>
      <c r="K151" s="224"/>
    </row>
    <row r="152" spans="1:11">
      <c r="A152" s="23" t="s">
        <v>530</v>
      </c>
      <c r="B152" s="23">
        <v>21</v>
      </c>
      <c r="C152" s="23">
        <v>31</v>
      </c>
      <c r="D152" s="224"/>
      <c r="E152" s="224"/>
      <c r="F152" s="224"/>
      <c r="G152" s="224"/>
      <c r="H152" s="224"/>
      <c r="I152" s="224">
        <v>1040</v>
      </c>
      <c r="J152" s="224">
        <v>1000</v>
      </c>
      <c r="K152" s="224"/>
    </row>
    <row r="153" spans="1:11">
      <c r="A153" s="23" t="s">
        <v>530</v>
      </c>
      <c r="B153" s="23">
        <v>21</v>
      </c>
      <c r="C153" s="23">
        <v>33</v>
      </c>
      <c r="D153" s="224"/>
      <c r="E153" s="224"/>
      <c r="F153" s="224"/>
      <c r="G153" s="224"/>
      <c r="H153" s="224">
        <v>160</v>
      </c>
      <c r="I153" s="224"/>
      <c r="J153" s="224"/>
      <c r="K153" s="224"/>
    </row>
    <row r="154" spans="1:11">
      <c r="A154" s="23" t="s">
        <v>530</v>
      </c>
      <c r="B154" s="23">
        <v>21</v>
      </c>
      <c r="C154" s="23">
        <v>34</v>
      </c>
      <c r="D154" s="224"/>
      <c r="E154" s="224">
        <v>990</v>
      </c>
      <c r="F154" s="224"/>
      <c r="G154" s="224">
        <v>428</v>
      </c>
      <c r="H154" s="224"/>
      <c r="I154" s="224"/>
      <c r="J154" s="224"/>
      <c r="K154" s="224"/>
    </row>
    <row r="155" spans="1:11">
      <c r="A155" s="23" t="s">
        <v>530</v>
      </c>
      <c r="B155" s="23">
        <v>24</v>
      </c>
      <c r="C155" s="23">
        <v>26</v>
      </c>
      <c r="D155" s="224"/>
      <c r="E155" s="224"/>
      <c r="F155" s="224">
        <v>2333</v>
      </c>
      <c r="G155" s="224">
        <v>180</v>
      </c>
      <c r="H155" s="224"/>
      <c r="I155" s="224">
        <v>11882</v>
      </c>
      <c r="J155" s="224"/>
      <c r="K155" s="224"/>
    </row>
    <row r="156" spans="1:11">
      <c r="A156" s="23" t="s">
        <v>530</v>
      </c>
      <c r="B156" s="23">
        <v>24</v>
      </c>
      <c r="C156" s="23">
        <v>27</v>
      </c>
      <c r="D156" s="224"/>
      <c r="E156" s="224"/>
      <c r="F156" s="224">
        <v>2861</v>
      </c>
      <c r="G156" s="224">
        <v>1728</v>
      </c>
      <c r="H156" s="224">
        <v>600</v>
      </c>
      <c r="I156" s="224">
        <v>100</v>
      </c>
      <c r="J156" s="224"/>
      <c r="K156" s="224"/>
    </row>
    <row r="157" spans="1:11">
      <c r="A157" s="23" t="s">
        <v>530</v>
      </c>
      <c r="B157" s="23">
        <v>24</v>
      </c>
      <c r="C157" s="23">
        <v>31</v>
      </c>
      <c r="D157" s="224"/>
      <c r="E157" s="224"/>
      <c r="F157" s="224">
        <v>275</v>
      </c>
      <c r="G157" s="224">
        <v>21</v>
      </c>
      <c r="H157" s="224"/>
      <c r="I157" s="224">
        <v>100</v>
      </c>
      <c r="J157" s="224"/>
      <c r="K157" s="224"/>
    </row>
    <row r="158" spans="1:11">
      <c r="A158" s="23" t="s">
        <v>532</v>
      </c>
      <c r="B158" s="23">
        <v>21</v>
      </c>
      <c r="C158" s="23">
        <v>21</v>
      </c>
      <c r="D158" s="224"/>
      <c r="E158" s="224">
        <v>118993</v>
      </c>
      <c r="F158" s="224">
        <v>134525</v>
      </c>
      <c r="G158" s="224">
        <v>88772</v>
      </c>
      <c r="H158" s="224"/>
      <c r="I158" s="224"/>
      <c r="J158" s="224"/>
      <c r="K158" s="224"/>
    </row>
    <row r="159" spans="1:11">
      <c r="A159" s="23" t="s">
        <v>532</v>
      </c>
      <c r="B159" s="23">
        <v>21</v>
      </c>
      <c r="C159" s="23">
        <v>26</v>
      </c>
      <c r="D159" s="224"/>
      <c r="E159" s="224">
        <v>998946</v>
      </c>
      <c r="F159" s="224">
        <v>56172</v>
      </c>
      <c r="G159" s="224">
        <v>370341</v>
      </c>
      <c r="H159" s="224"/>
      <c r="I159" s="224"/>
      <c r="J159" s="224"/>
      <c r="K159" s="224"/>
    </row>
    <row r="160" spans="1:11">
      <c r="A160" s="23" t="s">
        <v>532</v>
      </c>
      <c r="B160" s="23">
        <v>21</v>
      </c>
      <c r="C160" s="23">
        <v>27</v>
      </c>
      <c r="D160" s="224"/>
      <c r="E160" s="224">
        <v>2567971</v>
      </c>
      <c r="F160" s="224">
        <v>1714189</v>
      </c>
      <c r="G160" s="224">
        <v>1950865</v>
      </c>
      <c r="H160" s="224"/>
      <c r="I160" s="224">
        <v>250000</v>
      </c>
      <c r="J160" s="224"/>
      <c r="K160" s="224"/>
    </row>
    <row r="161" spans="1:11">
      <c r="A161" s="23" t="s">
        <v>532</v>
      </c>
      <c r="B161" s="23">
        <v>21</v>
      </c>
      <c r="C161" s="23">
        <v>31</v>
      </c>
      <c r="D161" s="224"/>
      <c r="E161" s="224">
        <v>28517</v>
      </c>
      <c r="F161" s="224"/>
      <c r="G161" s="224">
        <v>13131</v>
      </c>
      <c r="H161" s="224"/>
      <c r="I161" s="224"/>
      <c r="J161" s="224"/>
      <c r="K161" s="224"/>
    </row>
    <row r="162" spans="1:11">
      <c r="A162" s="23" t="s">
        <v>532</v>
      </c>
      <c r="B162" s="23">
        <v>21</v>
      </c>
      <c r="C162" s="23">
        <v>34</v>
      </c>
      <c r="D162" s="224"/>
      <c r="E162" s="224">
        <v>53316</v>
      </c>
      <c r="F162" s="224"/>
      <c r="G162" s="224">
        <v>12220</v>
      </c>
      <c r="H162" s="224"/>
      <c r="I162" s="224"/>
      <c r="J162" s="224"/>
      <c r="K162" s="224"/>
    </row>
    <row r="163" spans="1:11">
      <c r="A163" s="23" t="s">
        <v>532</v>
      </c>
      <c r="B163" s="23">
        <v>23</v>
      </c>
      <c r="C163" s="23">
        <v>27</v>
      </c>
      <c r="D163" s="224"/>
      <c r="E163" s="224">
        <v>57055</v>
      </c>
      <c r="F163" s="224">
        <v>12583</v>
      </c>
      <c r="G163" s="224">
        <v>35040</v>
      </c>
      <c r="H163" s="224">
        <v>59000</v>
      </c>
      <c r="I163" s="224"/>
      <c r="J163" s="224"/>
      <c r="K163" s="224"/>
    </row>
    <row r="164" spans="1:11">
      <c r="A164" s="23" t="s">
        <v>532</v>
      </c>
      <c r="B164" s="23">
        <v>23</v>
      </c>
      <c r="C164" s="23">
        <v>31</v>
      </c>
      <c r="D164" s="224"/>
      <c r="E164" s="224">
        <v>935</v>
      </c>
      <c r="F164" s="224"/>
      <c r="G164" s="224">
        <v>217</v>
      </c>
      <c r="H164" s="224"/>
      <c r="I164" s="224"/>
      <c r="J164" s="224"/>
      <c r="K164" s="224"/>
    </row>
    <row r="165" spans="1:11">
      <c r="A165" s="23" t="s">
        <v>532</v>
      </c>
      <c r="B165" s="23">
        <v>24</v>
      </c>
      <c r="C165" s="23">
        <v>26</v>
      </c>
      <c r="D165" s="224"/>
      <c r="E165" s="224">
        <v>478166</v>
      </c>
      <c r="F165" s="224"/>
      <c r="G165" s="224">
        <v>174738</v>
      </c>
      <c r="H165" s="224"/>
      <c r="I165" s="224"/>
      <c r="J165" s="224"/>
      <c r="K165" s="224"/>
    </row>
    <row r="166" spans="1:11">
      <c r="A166" s="23" t="s">
        <v>532</v>
      </c>
      <c r="B166" s="23">
        <v>24</v>
      </c>
      <c r="C166" s="23">
        <v>27</v>
      </c>
      <c r="D166" s="224"/>
      <c r="E166" s="224">
        <v>77478</v>
      </c>
      <c r="F166" s="224">
        <v>22012</v>
      </c>
      <c r="G166" s="224">
        <v>44632</v>
      </c>
      <c r="H166" s="224"/>
      <c r="I166" s="224">
        <v>187978</v>
      </c>
      <c r="J166" s="224"/>
      <c r="K166" s="224"/>
    </row>
    <row r="167" spans="1:11">
      <c r="A167" s="23" t="s">
        <v>532</v>
      </c>
      <c r="B167" s="23">
        <v>24</v>
      </c>
      <c r="C167" s="23">
        <v>31</v>
      </c>
      <c r="D167" s="224"/>
      <c r="E167" s="224">
        <v>9109</v>
      </c>
      <c r="F167" s="224"/>
      <c r="G167" s="224">
        <v>2087</v>
      </c>
      <c r="H167" s="224"/>
      <c r="I167" s="224"/>
      <c r="J167" s="224"/>
      <c r="K167" s="224"/>
    </row>
    <row r="168" spans="1:11">
      <c r="A168" s="23" t="s">
        <v>534</v>
      </c>
      <c r="B168" s="23">
        <v>21</v>
      </c>
      <c r="C168" s="23">
        <v>21</v>
      </c>
      <c r="D168" s="224"/>
      <c r="E168" s="224">
        <v>334119</v>
      </c>
      <c r="F168" s="224">
        <v>260996</v>
      </c>
      <c r="G168" s="224">
        <v>187606</v>
      </c>
      <c r="H168" s="224">
        <v>20000</v>
      </c>
      <c r="I168" s="224"/>
      <c r="J168" s="224"/>
      <c r="K168" s="224"/>
    </row>
    <row r="169" spans="1:11">
      <c r="A169" s="23" t="s">
        <v>534</v>
      </c>
      <c r="B169" s="23">
        <v>21</v>
      </c>
      <c r="C169" s="23">
        <v>25</v>
      </c>
      <c r="D169" s="224"/>
      <c r="E169" s="224"/>
      <c r="F169" s="224"/>
      <c r="G169" s="224"/>
      <c r="H169" s="224"/>
      <c r="I169" s="224">
        <v>2000</v>
      </c>
      <c r="J169" s="224"/>
      <c r="K169" s="224"/>
    </row>
    <row r="170" spans="1:11">
      <c r="A170" s="23" t="s">
        <v>534</v>
      </c>
      <c r="B170" s="23">
        <v>21</v>
      </c>
      <c r="C170" s="23">
        <v>26</v>
      </c>
      <c r="D170" s="224"/>
      <c r="E170" s="224">
        <v>1968489</v>
      </c>
      <c r="F170" s="224">
        <v>85526</v>
      </c>
      <c r="G170" s="224">
        <v>758328</v>
      </c>
      <c r="H170" s="224">
        <v>20500</v>
      </c>
      <c r="I170" s="224">
        <v>70063</v>
      </c>
      <c r="J170" s="224"/>
      <c r="K170" s="224"/>
    </row>
    <row r="171" spans="1:11">
      <c r="A171" s="23" t="s">
        <v>534</v>
      </c>
      <c r="B171" s="23">
        <v>21</v>
      </c>
      <c r="C171" s="23">
        <v>27</v>
      </c>
      <c r="D171" s="224"/>
      <c r="E171" s="224">
        <v>2940910</v>
      </c>
      <c r="F171" s="224">
        <v>2785933</v>
      </c>
      <c r="G171" s="224">
        <v>2734218</v>
      </c>
      <c r="H171" s="224">
        <v>32500</v>
      </c>
      <c r="I171" s="224">
        <v>112000</v>
      </c>
      <c r="J171" s="224"/>
      <c r="K171" s="224"/>
    </row>
    <row r="172" spans="1:11">
      <c r="A172" s="23" t="s">
        <v>534</v>
      </c>
      <c r="B172" s="23">
        <v>21</v>
      </c>
      <c r="C172" s="23">
        <v>29</v>
      </c>
      <c r="D172" s="224"/>
      <c r="E172" s="224"/>
      <c r="F172" s="224"/>
      <c r="G172" s="224"/>
      <c r="H172" s="224"/>
      <c r="I172" s="224">
        <v>650000</v>
      </c>
      <c r="J172" s="224"/>
      <c r="K172" s="224"/>
    </row>
    <row r="173" spans="1:11">
      <c r="A173" s="23" t="s">
        <v>534</v>
      </c>
      <c r="B173" s="23">
        <v>21</v>
      </c>
      <c r="C173" s="23">
        <v>31</v>
      </c>
      <c r="D173" s="224"/>
      <c r="E173" s="224">
        <v>57892</v>
      </c>
      <c r="F173" s="224"/>
      <c r="G173" s="224">
        <v>13846</v>
      </c>
      <c r="H173" s="224"/>
      <c r="I173" s="224"/>
      <c r="J173" s="224"/>
      <c r="K173" s="224"/>
    </row>
    <row r="174" spans="1:11">
      <c r="A174" s="23" t="s">
        <v>534</v>
      </c>
      <c r="B174" s="23">
        <v>21</v>
      </c>
      <c r="C174" s="23">
        <v>34</v>
      </c>
      <c r="D174" s="224"/>
      <c r="E174" s="224">
        <v>692</v>
      </c>
      <c r="F174" s="224"/>
      <c r="G174" s="224"/>
      <c r="H174" s="224"/>
      <c r="I174" s="224"/>
      <c r="J174" s="224"/>
      <c r="K174" s="224"/>
    </row>
    <row r="175" spans="1:11">
      <c r="A175" s="23" t="s">
        <v>534</v>
      </c>
      <c r="B175" s="23">
        <v>23</v>
      </c>
      <c r="C175" s="23">
        <v>27</v>
      </c>
      <c r="D175" s="224"/>
      <c r="E175" s="224"/>
      <c r="F175" s="224">
        <v>20149</v>
      </c>
      <c r="G175" s="224">
        <v>16576</v>
      </c>
      <c r="H175" s="224">
        <v>5000</v>
      </c>
      <c r="I175" s="224"/>
      <c r="J175" s="224"/>
      <c r="K175" s="224"/>
    </row>
    <row r="176" spans="1:11">
      <c r="A176" s="23" t="s">
        <v>534</v>
      </c>
      <c r="B176" s="23">
        <v>24</v>
      </c>
      <c r="C176" s="23">
        <v>27</v>
      </c>
      <c r="D176" s="224"/>
      <c r="E176" s="224">
        <v>882541</v>
      </c>
      <c r="F176" s="224">
        <v>66490</v>
      </c>
      <c r="G176" s="224">
        <v>378693</v>
      </c>
      <c r="H176" s="224"/>
      <c r="I176" s="224"/>
      <c r="J176" s="224"/>
      <c r="K176" s="224"/>
    </row>
    <row r="177" spans="1:11">
      <c r="A177" s="23" t="s">
        <v>536</v>
      </c>
      <c r="B177" s="23">
        <v>21</v>
      </c>
      <c r="C177" s="23">
        <v>21</v>
      </c>
      <c r="D177" s="224"/>
      <c r="E177" s="224"/>
      <c r="F177" s="224">
        <v>27685</v>
      </c>
      <c r="G177" s="224">
        <v>11868</v>
      </c>
      <c r="H177" s="224"/>
      <c r="I177" s="224"/>
      <c r="J177" s="224"/>
      <c r="K177" s="224"/>
    </row>
    <row r="178" spans="1:11">
      <c r="A178" s="23" t="s">
        <v>536</v>
      </c>
      <c r="B178" s="23">
        <v>21</v>
      </c>
      <c r="C178" s="23">
        <v>26</v>
      </c>
      <c r="D178" s="224"/>
      <c r="E178" s="224"/>
      <c r="F178" s="224"/>
      <c r="G178" s="224"/>
      <c r="H178" s="224"/>
      <c r="I178" s="224">
        <v>564535</v>
      </c>
      <c r="J178" s="224"/>
      <c r="K178" s="224"/>
    </row>
    <row r="179" spans="1:11">
      <c r="A179" s="23" t="s">
        <v>536</v>
      </c>
      <c r="B179" s="23">
        <v>21</v>
      </c>
      <c r="C179" s="23">
        <v>27</v>
      </c>
      <c r="D179" s="224"/>
      <c r="E179" s="224">
        <v>233316</v>
      </c>
      <c r="F179" s="224">
        <v>157414</v>
      </c>
      <c r="G179" s="224">
        <v>183573</v>
      </c>
      <c r="H179" s="224">
        <v>4000</v>
      </c>
      <c r="I179" s="224">
        <v>1500</v>
      </c>
      <c r="J179" s="224"/>
      <c r="K179" s="224"/>
    </row>
    <row r="180" spans="1:11">
      <c r="A180" s="23" t="s">
        <v>536</v>
      </c>
      <c r="B180" s="23">
        <v>21</v>
      </c>
      <c r="C180" s="23">
        <v>32</v>
      </c>
      <c r="D180" s="224"/>
      <c r="E180" s="224"/>
      <c r="F180" s="224"/>
      <c r="G180" s="224"/>
      <c r="H180" s="224">
        <v>1000</v>
      </c>
      <c r="I180" s="224"/>
      <c r="J180" s="224"/>
      <c r="K180" s="224"/>
    </row>
    <row r="181" spans="1:11">
      <c r="A181" s="23" t="s">
        <v>536</v>
      </c>
      <c r="B181" s="23">
        <v>21</v>
      </c>
      <c r="C181" s="23">
        <v>34</v>
      </c>
      <c r="D181" s="224"/>
      <c r="E181" s="224">
        <v>4911</v>
      </c>
      <c r="F181" s="224"/>
      <c r="G181" s="224">
        <v>1137</v>
      </c>
      <c r="H181" s="224"/>
      <c r="I181" s="224"/>
      <c r="J181" s="224"/>
      <c r="K181" s="224"/>
    </row>
    <row r="182" spans="1:11">
      <c r="A182" s="23" t="s">
        <v>536</v>
      </c>
      <c r="B182" s="23">
        <v>24</v>
      </c>
      <c r="C182" s="23">
        <v>26</v>
      </c>
      <c r="D182" s="224"/>
      <c r="E182" s="224"/>
      <c r="F182" s="224"/>
      <c r="G182" s="224"/>
      <c r="H182" s="224"/>
      <c r="I182" s="224">
        <v>107474</v>
      </c>
      <c r="J182" s="224"/>
      <c r="K182" s="224"/>
    </row>
    <row r="183" spans="1:11">
      <c r="A183" s="23" t="s">
        <v>536</v>
      </c>
      <c r="B183" s="23">
        <v>24</v>
      </c>
      <c r="C183" s="23">
        <v>27</v>
      </c>
      <c r="D183" s="224"/>
      <c r="E183" s="224"/>
      <c r="F183" s="224"/>
      <c r="G183" s="224"/>
      <c r="H183" s="224">
        <v>9999</v>
      </c>
      <c r="I183" s="224"/>
      <c r="J183" s="224"/>
      <c r="K183" s="224"/>
    </row>
    <row r="184" spans="1:11">
      <c r="A184" s="23" t="s">
        <v>536</v>
      </c>
      <c r="B184" s="23">
        <v>29</v>
      </c>
      <c r="C184" s="23">
        <v>27</v>
      </c>
      <c r="D184" s="224"/>
      <c r="E184" s="224">
        <v>67504</v>
      </c>
      <c r="F184" s="224"/>
      <c r="G184" s="224">
        <v>27962</v>
      </c>
      <c r="H184" s="224"/>
      <c r="I184" s="224"/>
      <c r="J184" s="224"/>
      <c r="K184" s="224"/>
    </row>
    <row r="185" spans="1:11">
      <c r="A185" s="23" t="s">
        <v>538</v>
      </c>
      <c r="B185" s="23">
        <v>21</v>
      </c>
      <c r="C185" s="23">
        <v>27</v>
      </c>
      <c r="D185" s="224"/>
      <c r="E185" s="224">
        <v>63224</v>
      </c>
      <c r="F185" s="224">
        <v>45963</v>
      </c>
      <c r="G185" s="224">
        <v>55019</v>
      </c>
      <c r="H185" s="224">
        <v>10000</v>
      </c>
      <c r="I185" s="224">
        <v>30600</v>
      </c>
      <c r="J185" s="224"/>
      <c r="K185" s="224"/>
    </row>
    <row r="186" spans="1:11">
      <c r="A186" s="23" t="s">
        <v>538</v>
      </c>
      <c r="B186" s="23">
        <v>21</v>
      </c>
      <c r="C186" s="23">
        <v>29</v>
      </c>
      <c r="D186" s="224"/>
      <c r="E186" s="224"/>
      <c r="F186" s="224"/>
      <c r="G186" s="224"/>
      <c r="H186" s="224"/>
      <c r="I186" s="224">
        <v>120000</v>
      </c>
      <c r="J186" s="224"/>
      <c r="K186" s="224"/>
    </row>
    <row r="187" spans="1:11">
      <c r="A187" s="23" t="s">
        <v>538</v>
      </c>
      <c r="B187" s="23">
        <v>24</v>
      </c>
      <c r="C187" s="23">
        <v>27</v>
      </c>
      <c r="D187" s="224"/>
      <c r="E187" s="224"/>
      <c r="F187" s="224">
        <v>26922</v>
      </c>
      <c r="G187" s="224">
        <v>18737</v>
      </c>
      <c r="H187" s="224"/>
      <c r="I187" s="224"/>
      <c r="J187" s="224"/>
      <c r="K187" s="224"/>
    </row>
    <row r="188" spans="1:11">
      <c r="A188" s="23" t="s">
        <v>151</v>
      </c>
      <c r="B188" s="23">
        <v>21</v>
      </c>
      <c r="C188" s="23">
        <v>21</v>
      </c>
      <c r="D188" s="224"/>
      <c r="E188" s="224">
        <v>103014</v>
      </c>
      <c r="F188" s="224">
        <v>27260</v>
      </c>
      <c r="G188" s="224">
        <v>50893</v>
      </c>
      <c r="H188" s="224">
        <v>7250</v>
      </c>
      <c r="I188" s="224">
        <v>1750</v>
      </c>
      <c r="J188" s="224"/>
      <c r="K188" s="224"/>
    </row>
    <row r="189" spans="1:11">
      <c r="A189" s="23" t="s">
        <v>151</v>
      </c>
      <c r="B189" s="23">
        <v>21</v>
      </c>
      <c r="C189" s="23">
        <v>26</v>
      </c>
      <c r="D189" s="224"/>
      <c r="E189" s="224">
        <v>237770</v>
      </c>
      <c r="F189" s="224">
        <v>38431</v>
      </c>
      <c r="G189" s="224">
        <v>110968</v>
      </c>
      <c r="H189" s="224"/>
      <c r="I189" s="224">
        <v>10000</v>
      </c>
      <c r="J189" s="224">
        <v>2000</v>
      </c>
      <c r="K189" s="224"/>
    </row>
    <row r="190" spans="1:11">
      <c r="A190" s="23" t="s">
        <v>151</v>
      </c>
      <c r="B190" s="23">
        <v>21</v>
      </c>
      <c r="C190" s="23">
        <v>27</v>
      </c>
      <c r="D190" s="224"/>
      <c r="E190" s="224">
        <v>594261</v>
      </c>
      <c r="F190" s="224">
        <v>311889</v>
      </c>
      <c r="G190" s="224">
        <v>421720</v>
      </c>
      <c r="H190" s="224">
        <v>9000</v>
      </c>
      <c r="I190" s="224">
        <v>10000</v>
      </c>
      <c r="J190" s="224"/>
      <c r="K190" s="224"/>
    </row>
    <row r="191" spans="1:11">
      <c r="A191" s="23" t="s">
        <v>151</v>
      </c>
      <c r="B191" s="23">
        <v>21</v>
      </c>
      <c r="C191" s="23">
        <v>31</v>
      </c>
      <c r="D191" s="224"/>
      <c r="E191" s="224">
        <v>3948</v>
      </c>
      <c r="F191" s="224"/>
      <c r="G191" s="224">
        <v>1524</v>
      </c>
      <c r="H191" s="224"/>
      <c r="I191" s="224">
        <v>5000</v>
      </c>
      <c r="J191" s="224"/>
      <c r="K191" s="224"/>
    </row>
    <row r="192" spans="1:11">
      <c r="A192" s="23" t="s">
        <v>151</v>
      </c>
      <c r="B192" s="23">
        <v>21</v>
      </c>
      <c r="C192" s="23">
        <v>32</v>
      </c>
      <c r="D192" s="224"/>
      <c r="E192" s="224"/>
      <c r="F192" s="224"/>
      <c r="G192" s="224"/>
      <c r="H192" s="224">
        <v>4000</v>
      </c>
      <c r="I192" s="224"/>
      <c r="J192" s="224"/>
      <c r="K192" s="224"/>
    </row>
    <row r="193" spans="1:11">
      <c r="A193" s="23" t="s">
        <v>151</v>
      </c>
      <c r="B193" s="23">
        <v>21</v>
      </c>
      <c r="C193" s="23">
        <v>34</v>
      </c>
      <c r="D193" s="224"/>
      <c r="E193" s="224">
        <v>13214</v>
      </c>
      <c r="F193" s="224"/>
      <c r="G193" s="224">
        <v>5099</v>
      </c>
      <c r="H193" s="224"/>
      <c r="I193" s="224"/>
      <c r="J193" s="224"/>
      <c r="K193" s="224"/>
    </row>
    <row r="194" spans="1:11">
      <c r="A194" s="23" t="s">
        <v>151</v>
      </c>
      <c r="B194" s="23">
        <v>24</v>
      </c>
      <c r="C194" s="23">
        <v>27</v>
      </c>
      <c r="D194" s="224"/>
      <c r="E194" s="224"/>
      <c r="F194" s="224">
        <v>181622</v>
      </c>
      <c r="G194" s="224">
        <v>124079</v>
      </c>
      <c r="H194" s="224"/>
      <c r="I194" s="224">
        <v>7500</v>
      </c>
      <c r="J194" s="224"/>
      <c r="K194" s="224"/>
    </row>
    <row r="195" spans="1:11">
      <c r="A195" s="23" t="s">
        <v>153</v>
      </c>
      <c r="B195" s="23">
        <v>21</v>
      </c>
      <c r="C195" s="23">
        <v>21</v>
      </c>
      <c r="D195" s="224"/>
      <c r="E195" s="224">
        <v>58209</v>
      </c>
      <c r="F195" s="224"/>
      <c r="G195" s="224">
        <v>19488</v>
      </c>
      <c r="H195" s="224">
        <v>1500</v>
      </c>
      <c r="I195" s="224">
        <v>856</v>
      </c>
      <c r="J195" s="224"/>
      <c r="K195" s="224"/>
    </row>
    <row r="196" spans="1:11">
      <c r="A196" s="23" t="s">
        <v>153</v>
      </c>
      <c r="B196" s="23">
        <v>21</v>
      </c>
      <c r="C196" s="23">
        <v>26</v>
      </c>
      <c r="D196" s="224"/>
      <c r="E196" s="224">
        <v>474703</v>
      </c>
      <c r="F196" s="224"/>
      <c r="G196" s="224">
        <v>195051</v>
      </c>
      <c r="H196" s="224"/>
      <c r="I196" s="224">
        <v>87000</v>
      </c>
      <c r="J196" s="224"/>
      <c r="K196" s="224"/>
    </row>
    <row r="197" spans="1:11">
      <c r="A197" s="23" t="s">
        <v>153</v>
      </c>
      <c r="B197" s="23">
        <v>21</v>
      </c>
      <c r="C197" s="23">
        <v>27</v>
      </c>
      <c r="D197" s="224"/>
      <c r="E197" s="224">
        <v>669470</v>
      </c>
      <c r="F197" s="224">
        <v>581524</v>
      </c>
      <c r="G197" s="224">
        <v>590180</v>
      </c>
      <c r="H197" s="224">
        <v>36685</v>
      </c>
      <c r="I197" s="224">
        <v>60095</v>
      </c>
      <c r="J197" s="224"/>
      <c r="K197" s="224"/>
    </row>
    <row r="198" spans="1:11">
      <c r="A198" s="23" t="s">
        <v>153</v>
      </c>
      <c r="B198" s="23">
        <v>21</v>
      </c>
      <c r="C198" s="23">
        <v>31</v>
      </c>
      <c r="D198" s="224"/>
      <c r="E198" s="224"/>
      <c r="F198" s="224"/>
      <c r="G198" s="224"/>
      <c r="H198" s="224"/>
      <c r="I198" s="224">
        <v>5652</v>
      </c>
      <c r="J198" s="224">
        <v>2743</v>
      </c>
      <c r="K198" s="224"/>
    </row>
    <row r="199" spans="1:11">
      <c r="A199" s="23" t="s">
        <v>153</v>
      </c>
      <c r="B199" s="23">
        <v>21</v>
      </c>
      <c r="C199" s="23">
        <v>32</v>
      </c>
      <c r="D199" s="224"/>
      <c r="E199" s="224"/>
      <c r="F199" s="224"/>
      <c r="G199" s="224"/>
      <c r="H199" s="224">
        <v>5411</v>
      </c>
      <c r="I199" s="224">
        <v>1220</v>
      </c>
      <c r="J199" s="224"/>
      <c r="K199" s="224"/>
    </row>
    <row r="200" spans="1:11">
      <c r="A200" s="23" t="s">
        <v>153</v>
      </c>
      <c r="B200" s="23">
        <v>24</v>
      </c>
      <c r="C200" s="23">
        <v>21</v>
      </c>
      <c r="D200" s="224"/>
      <c r="E200" s="224">
        <v>29104</v>
      </c>
      <c r="F200" s="224"/>
      <c r="G200" s="224">
        <v>9744</v>
      </c>
      <c r="H200" s="224"/>
      <c r="I200" s="224"/>
      <c r="J200" s="224"/>
      <c r="K200" s="224"/>
    </row>
    <row r="201" spans="1:11">
      <c r="A201" s="23" t="s">
        <v>153</v>
      </c>
      <c r="B201" s="23">
        <v>24</v>
      </c>
      <c r="C201" s="23">
        <v>27</v>
      </c>
      <c r="D201" s="224"/>
      <c r="E201" s="224">
        <v>85380</v>
      </c>
      <c r="F201" s="224">
        <v>99357</v>
      </c>
      <c r="G201" s="224">
        <v>91967</v>
      </c>
      <c r="H201" s="224"/>
      <c r="I201" s="224"/>
      <c r="J201" s="224"/>
      <c r="K201" s="224"/>
    </row>
    <row r="202" spans="1:11">
      <c r="A202" s="23" t="s">
        <v>155</v>
      </c>
      <c r="B202" s="23">
        <v>21</v>
      </c>
      <c r="C202" s="23">
        <v>21</v>
      </c>
      <c r="D202" s="224"/>
      <c r="E202" s="224">
        <v>117369</v>
      </c>
      <c r="F202" s="224">
        <v>44046</v>
      </c>
      <c r="G202" s="224">
        <v>53917</v>
      </c>
      <c r="H202" s="224"/>
      <c r="I202" s="224"/>
      <c r="J202" s="224"/>
      <c r="K202" s="224"/>
    </row>
    <row r="203" spans="1:11">
      <c r="A203" s="23" t="s">
        <v>155</v>
      </c>
      <c r="B203" s="23">
        <v>21</v>
      </c>
      <c r="C203" s="23">
        <v>26</v>
      </c>
      <c r="D203" s="224"/>
      <c r="E203" s="224">
        <v>370042</v>
      </c>
      <c r="F203" s="224"/>
      <c r="G203" s="224">
        <v>135789</v>
      </c>
      <c r="H203" s="224"/>
      <c r="I203" s="224">
        <v>150000</v>
      </c>
      <c r="J203" s="224"/>
      <c r="K203" s="224"/>
    </row>
    <row r="204" spans="1:11">
      <c r="A204" s="23" t="s">
        <v>155</v>
      </c>
      <c r="B204" s="23">
        <v>21</v>
      </c>
      <c r="C204" s="23">
        <v>27</v>
      </c>
      <c r="D204" s="224"/>
      <c r="E204" s="224">
        <v>450402</v>
      </c>
      <c r="F204" s="224">
        <v>740118</v>
      </c>
      <c r="G204" s="224">
        <v>661444</v>
      </c>
      <c r="H204" s="224">
        <v>10000</v>
      </c>
      <c r="I204" s="224">
        <v>558637</v>
      </c>
      <c r="J204" s="224"/>
      <c r="K204" s="224"/>
    </row>
    <row r="205" spans="1:11">
      <c r="A205" s="23" t="s">
        <v>155</v>
      </c>
      <c r="B205" s="23">
        <v>21</v>
      </c>
      <c r="C205" s="23">
        <v>34</v>
      </c>
      <c r="D205" s="224"/>
      <c r="E205" s="224">
        <v>22430</v>
      </c>
      <c r="F205" s="224"/>
      <c r="G205" s="224">
        <v>6090</v>
      </c>
      <c r="H205" s="224"/>
      <c r="I205" s="224"/>
      <c r="J205" s="224"/>
      <c r="K205" s="224"/>
    </row>
    <row r="206" spans="1:11">
      <c r="A206" s="23" t="s">
        <v>155</v>
      </c>
      <c r="B206" s="23">
        <v>23</v>
      </c>
      <c r="C206" s="23">
        <v>26</v>
      </c>
      <c r="D206" s="224"/>
      <c r="E206" s="224"/>
      <c r="F206" s="224"/>
      <c r="G206" s="224"/>
      <c r="H206" s="224"/>
      <c r="I206" s="224">
        <v>22000</v>
      </c>
      <c r="J206" s="224"/>
      <c r="K206" s="224"/>
    </row>
    <row r="207" spans="1:11">
      <c r="A207" s="23" t="s">
        <v>155</v>
      </c>
      <c r="B207" s="23">
        <v>24</v>
      </c>
      <c r="C207" s="23">
        <v>27</v>
      </c>
      <c r="D207" s="224"/>
      <c r="E207" s="224">
        <v>241822</v>
      </c>
      <c r="F207" s="224">
        <v>26800</v>
      </c>
      <c r="G207" s="224">
        <v>111646</v>
      </c>
      <c r="H207" s="224"/>
      <c r="I207" s="224"/>
      <c r="J207" s="224"/>
      <c r="K207" s="224"/>
    </row>
    <row r="208" spans="1:11">
      <c r="A208" s="23" t="s">
        <v>1050</v>
      </c>
      <c r="B208" s="23">
        <v>21</v>
      </c>
      <c r="C208" s="23">
        <v>21</v>
      </c>
      <c r="D208" s="224"/>
      <c r="E208" s="224">
        <v>66880</v>
      </c>
      <c r="F208" s="224"/>
      <c r="G208" s="224">
        <v>25516</v>
      </c>
      <c r="H208" s="224"/>
      <c r="I208" s="224"/>
      <c r="J208" s="224"/>
      <c r="K208" s="224"/>
    </row>
    <row r="209" spans="1:11">
      <c r="A209" s="23" t="s">
        <v>1050</v>
      </c>
      <c r="B209" s="23">
        <v>21</v>
      </c>
      <c r="C209" s="23">
        <v>26</v>
      </c>
      <c r="D209" s="224"/>
      <c r="E209" s="224"/>
      <c r="F209" s="224"/>
      <c r="G209" s="224"/>
      <c r="H209" s="224"/>
      <c r="I209" s="224">
        <v>87453</v>
      </c>
      <c r="J209" s="224"/>
      <c r="K209" s="224"/>
    </row>
    <row r="210" spans="1:11">
      <c r="A210" s="23" t="s">
        <v>1050</v>
      </c>
      <c r="B210" s="23">
        <v>21</v>
      </c>
      <c r="C210" s="23">
        <v>27</v>
      </c>
      <c r="D210" s="224"/>
      <c r="E210" s="224">
        <v>116434</v>
      </c>
      <c r="F210" s="224">
        <v>126331</v>
      </c>
      <c r="G210" s="224">
        <v>103330</v>
      </c>
      <c r="H210" s="224">
        <v>10402</v>
      </c>
      <c r="I210" s="224">
        <v>19430</v>
      </c>
      <c r="J210" s="224"/>
      <c r="K210" s="224"/>
    </row>
    <row r="211" spans="1:11">
      <c r="A211" s="23" t="s">
        <v>1050</v>
      </c>
      <c r="B211" s="23">
        <v>21</v>
      </c>
      <c r="C211" s="23">
        <v>34</v>
      </c>
      <c r="D211" s="224"/>
      <c r="E211" s="224">
        <v>5400</v>
      </c>
      <c r="F211" s="224"/>
      <c r="G211" s="224">
        <v>2416</v>
      </c>
      <c r="H211" s="224"/>
      <c r="I211" s="224">
        <v>1500</v>
      </c>
      <c r="J211" s="224"/>
      <c r="K211" s="224"/>
    </row>
    <row r="212" spans="1:11">
      <c r="A212" s="23" t="s">
        <v>1050</v>
      </c>
      <c r="B212" s="23">
        <v>24</v>
      </c>
      <c r="C212" s="23">
        <v>26</v>
      </c>
      <c r="D212" s="224"/>
      <c r="E212" s="224"/>
      <c r="F212" s="224"/>
      <c r="G212" s="224"/>
      <c r="H212" s="224"/>
      <c r="I212" s="224">
        <v>50620</v>
      </c>
      <c r="J212" s="224"/>
      <c r="K212" s="224"/>
    </row>
    <row r="213" spans="1:11">
      <c r="A213" s="23" t="s">
        <v>157</v>
      </c>
      <c r="B213" s="23">
        <v>21</v>
      </c>
      <c r="C213" s="23">
        <v>27</v>
      </c>
      <c r="D213" s="224"/>
      <c r="E213" s="224"/>
      <c r="F213" s="224"/>
      <c r="G213" s="224"/>
      <c r="H213" s="224"/>
      <c r="I213" s="224">
        <v>72737</v>
      </c>
      <c r="J213" s="224"/>
      <c r="K213" s="224"/>
    </row>
    <row r="214" spans="1:11">
      <c r="A214" s="23" t="s">
        <v>281</v>
      </c>
      <c r="B214" s="23">
        <v>21</v>
      </c>
      <c r="C214" s="23">
        <v>21</v>
      </c>
      <c r="D214" s="224">
        <v>60</v>
      </c>
      <c r="E214" s="224">
        <v>922277</v>
      </c>
      <c r="F214" s="224">
        <v>283734</v>
      </c>
      <c r="G214" s="224">
        <v>413026</v>
      </c>
      <c r="H214" s="224">
        <v>13150</v>
      </c>
      <c r="I214" s="224">
        <v>6750</v>
      </c>
      <c r="J214" s="224">
        <v>4500</v>
      </c>
      <c r="K214" s="224"/>
    </row>
    <row r="215" spans="1:11">
      <c r="A215" s="23" t="s">
        <v>281</v>
      </c>
      <c r="B215" s="23">
        <v>21</v>
      </c>
      <c r="C215" s="23">
        <v>26</v>
      </c>
      <c r="D215" s="224"/>
      <c r="E215" s="224">
        <v>2836064</v>
      </c>
      <c r="F215" s="224">
        <v>366257</v>
      </c>
      <c r="G215" s="224">
        <v>1173525</v>
      </c>
      <c r="H215" s="224">
        <v>23713</v>
      </c>
      <c r="I215" s="224"/>
      <c r="J215" s="224">
        <v>5551</v>
      </c>
      <c r="K215" s="224"/>
    </row>
    <row r="216" spans="1:11">
      <c r="A216" s="23" t="s">
        <v>281</v>
      </c>
      <c r="B216" s="23">
        <v>21</v>
      </c>
      <c r="C216" s="23">
        <v>27</v>
      </c>
      <c r="D216" s="224">
        <v>60843</v>
      </c>
      <c r="E216" s="224">
        <v>8967524</v>
      </c>
      <c r="F216" s="224">
        <v>5287899</v>
      </c>
      <c r="G216" s="224">
        <v>5819650</v>
      </c>
      <c r="H216" s="224">
        <v>101839</v>
      </c>
      <c r="I216" s="224">
        <v>614000</v>
      </c>
      <c r="J216" s="224">
        <v>17171</v>
      </c>
      <c r="K216" s="224"/>
    </row>
    <row r="217" spans="1:11">
      <c r="A217" s="23" t="s">
        <v>281</v>
      </c>
      <c r="B217" s="23">
        <v>21</v>
      </c>
      <c r="C217" s="23">
        <v>31</v>
      </c>
      <c r="D217" s="224"/>
      <c r="E217" s="224"/>
      <c r="F217" s="224"/>
      <c r="G217" s="224"/>
      <c r="H217" s="224"/>
      <c r="I217" s="224">
        <v>2143</v>
      </c>
      <c r="J217" s="224"/>
      <c r="K217" s="224"/>
    </row>
    <row r="218" spans="1:11">
      <c r="A218" s="23" t="s">
        <v>281</v>
      </c>
      <c r="B218" s="23">
        <v>21</v>
      </c>
      <c r="C218" s="23">
        <v>34</v>
      </c>
      <c r="D218" s="224"/>
      <c r="E218" s="224">
        <v>48479</v>
      </c>
      <c r="F218" s="224"/>
      <c r="G218" s="224">
        <v>11137</v>
      </c>
      <c r="H218" s="224"/>
      <c r="I218" s="224"/>
      <c r="J218" s="224"/>
      <c r="K218" s="224"/>
    </row>
    <row r="219" spans="1:11">
      <c r="A219" s="23" t="s">
        <v>281</v>
      </c>
      <c r="B219" s="23">
        <v>23</v>
      </c>
      <c r="C219" s="23">
        <v>27</v>
      </c>
      <c r="D219" s="224"/>
      <c r="E219" s="224"/>
      <c r="F219" s="224">
        <v>348464</v>
      </c>
      <c r="G219" s="224">
        <v>207418</v>
      </c>
      <c r="H219" s="224"/>
      <c r="I219" s="224"/>
      <c r="J219" s="224"/>
      <c r="K219" s="224"/>
    </row>
    <row r="220" spans="1:11">
      <c r="A220" s="23" t="s">
        <v>281</v>
      </c>
      <c r="B220" s="23">
        <v>24</v>
      </c>
      <c r="C220" s="23">
        <v>27</v>
      </c>
      <c r="D220" s="224"/>
      <c r="E220" s="224"/>
      <c r="F220" s="224">
        <v>1596480</v>
      </c>
      <c r="G220" s="224">
        <v>939937</v>
      </c>
      <c r="H220" s="224"/>
      <c r="I220" s="224"/>
      <c r="J220" s="224"/>
      <c r="K220" s="224"/>
    </row>
    <row r="221" spans="1:11">
      <c r="A221" s="23" t="s">
        <v>281</v>
      </c>
      <c r="B221" s="23">
        <v>29</v>
      </c>
      <c r="C221" s="23">
        <v>27</v>
      </c>
      <c r="D221" s="224"/>
      <c r="E221" s="224">
        <v>318362</v>
      </c>
      <c r="F221" s="224">
        <v>126961</v>
      </c>
      <c r="G221" s="224">
        <v>252896</v>
      </c>
      <c r="H221" s="224"/>
      <c r="I221" s="224"/>
      <c r="J221" s="224"/>
      <c r="K221" s="224"/>
    </row>
    <row r="222" spans="1:11">
      <c r="A222" s="23" t="s">
        <v>281</v>
      </c>
      <c r="B222" s="23">
        <v>29</v>
      </c>
      <c r="C222" s="23">
        <v>31</v>
      </c>
      <c r="D222" s="224"/>
      <c r="E222" s="224">
        <v>1448</v>
      </c>
      <c r="F222" s="224"/>
      <c r="G222" s="224">
        <v>333</v>
      </c>
      <c r="H222" s="224"/>
      <c r="I222" s="224"/>
      <c r="J222" s="224"/>
      <c r="K222" s="224"/>
    </row>
    <row r="223" spans="1:11">
      <c r="A223" s="23" t="s">
        <v>283</v>
      </c>
      <c r="B223" s="23">
        <v>21</v>
      </c>
      <c r="C223" s="23">
        <v>21</v>
      </c>
      <c r="D223" s="224"/>
      <c r="E223" s="224">
        <v>297916</v>
      </c>
      <c r="F223" s="224">
        <v>265859</v>
      </c>
      <c r="G223" s="224">
        <v>202479</v>
      </c>
      <c r="H223" s="224">
        <v>5000</v>
      </c>
      <c r="I223" s="224">
        <v>27500</v>
      </c>
      <c r="J223" s="224"/>
      <c r="K223" s="224"/>
    </row>
    <row r="224" spans="1:11">
      <c r="A224" s="23" t="s">
        <v>283</v>
      </c>
      <c r="B224" s="23">
        <v>21</v>
      </c>
      <c r="C224" s="23">
        <v>24</v>
      </c>
      <c r="D224" s="224"/>
      <c r="E224" s="224">
        <v>46519</v>
      </c>
      <c r="F224" s="224"/>
      <c r="G224" s="224">
        <v>16595</v>
      </c>
      <c r="H224" s="224"/>
      <c r="I224" s="224"/>
      <c r="J224" s="224"/>
      <c r="K224" s="224"/>
    </row>
    <row r="225" spans="1:11">
      <c r="A225" s="23" t="s">
        <v>283</v>
      </c>
      <c r="B225" s="23">
        <v>21</v>
      </c>
      <c r="C225" s="23">
        <v>25</v>
      </c>
      <c r="D225" s="224"/>
      <c r="E225" s="224">
        <v>40</v>
      </c>
      <c r="F225" s="224">
        <v>425294</v>
      </c>
      <c r="G225" s="224">
        <v>312975</v>
      </c>
      <c r="H225" s="224"/>
      <c r="I225" s="224"/>
      <c r="J225" s="224"/>
      <c r="K225" s="224"/>
    </row>
    <row r="226" spans="1:11">
      <c r="A226" s="23" t="s">
        <v>283</v>
      </c>
      <c r="B226" s="23">
        <v>21</v>
      </c>
      <c r="C226" s="23">
        <v>26</v>
      </c>
      <c r="D226" s="224"/>
      <c r="E226" s="224">
        <v>5049032</v>
      </c>
      <c r="F226" s="224">
        <v>43915</v>
      </c>
      <c r="G226" s="224">
        <v>1942539</v>
      </c>
      <c r="H226" s="224">
        <v>35000</v>
      </c>
      <c r="I226" s="224">
        <v>20000</v>
      </c>
      <c r="J226" s="224"/>
      <c r="K226" s="224"/>
    </row>
    <row r="227" spans="1:11">
      <c r="A227" s="23" t="s">
        <v>283</v>
      </c>
      <c r="B227" s="23">
        <v>21</v>
      </c>
      <c r="C227" s="23">
        <v>27</v>
      </c>
      <c r="D227" s="224"/>
      <c r="E227" s="224">
        <v>8265832</v>
      </c>
      <c r="F227" s="224">
        <v>6654976</v>
      </c>
      <c r="G227" s="224">
        <v>7463716</v>
      </c>
      <c r="H227" s="224">
        <v>50000</v>
      </c>
      <c r="I227" s="224">
        <v>50000</v>
      </c>
      <c r="J227" s="224">
        <v>10000</v>
      </c>
      <c r="K227" s="224"/>
    </row>
    <row r="228" spans="1:11">
      <c r="A228" s="23" t="s">
        <v>283</v>
      </c>
      <c r="B228" s="23">
        <v>21</v>
      </c>
      <c r="C228" s="23">
        <v>31</v>
      </c>
      <c r="D228" s="224"/>
      <c r="E228" s="224">
        <v>10915</v>
      </c>
      <c r="F228" s="224">
        <v>4616</v>
      </c>
      <c r="G228" s="224">
        <v>3271</v>
      </c>
      <c r="H228" s="224"/>
      <c r="I228" s="224"/>
      <c r="J228" s="224"/>
      <c r="K228" s="224"/>
    </row>
    <row r="229" spans="1:11">
      <c r="A229" s="23" t="s">
        <v>283</v>
      </c>
      <c r="B229" s="23">
        <v>21</v>
      </c>
      <c r="C229" s="23">
        <v>32</v>
      </c>
      <c r="D229" s="224"/>
      <c r="E229" s="224"/>
      <c r="F229" s="224"/>
      <c r="G229" s="224"/>
      <c r="H229" s="224">
        <v>5000</v>
      </c>
      <c r="I229" s="224"/>
      <c r="J229" s="224"/>
      <c r="K229" s="224"/>
    </row>
    <row r="230" spans="1:11">
      <c r="A230" s="23" t="s">
        <v>283</v>
      </c>
      <c r="B230" s="23">
        <v>21</v>
      </c>
      <c r="C230" s="23">
        <v>34</v>
      </c>
      <c r="D230" s="224"/>
      <c r="E230" s="224">
        <v>95800</v>
      </c>
      <c r="F230" s="224"/>
      <c r="G230" s="224">
        <v>35529</v>
      </c>
      <c r="H230" s="224"/>
      <c r="I230" s="224"/>
      <c r="J230" s="224"/>
      <c r="K230" s="224"/>
    </row>
    <row r="231" spans="1:11">
      <c r="A231" s="23" t="s">
        <v>283</v>
      </c>
      <c r="B231" s="23">
        <v>24</v>
      </c>
      <c r="C231" s="23">
        <v>24</v>
      </c>
      <c r="D231" s="224"/>
      <c r="E231" s="224">
        <v>180001</v>
      </c>
      <c r="F231" s="224"/>
      <c r="G231" s="224">
        <v>60290</v>
      </c>
      <c r="H231" s="224"/>
      <c r="I231" s="224"/>
      <c r="J231" s="224"/>
      <c r="K231" s="224"/>
    </row>
    <row r="232" spans="1:11">
      <c r="A232" s="23" t="s">
        <v>283</v>
      </c>
      <c r="B232" s="23">
        <v>24</v>
      </c>
      <c r="C232" s="23">
        <v>27</v>
      </c>
      <c r="D232" s="224"/>
      <c r="E232" s="224">
        <v>1828594</v>
      </c>
      <c r="F232" s="224"/>
      <c r="G232" s="224">
        <v>652872</v>
      </c>
      <c r="H232" s="224"/>
      <c r="I232" s="224">
        <v>16388</v>
      </c>
      <c r="J232" s="224"/>
      <c r="K232" s="224"/>
    </row>
    <row r="233" spans="1:11">
      <c r="A233" s="23" t="s">
        <v>283</v>
      </c>
      <c r="B233" s="23">
        <v>24</v>
      </c>
      <c r="C233" s="23">
        <v>31</v>
      </c>
      <c r="D233" s="224"/>
      <c r="E233" s="224">
        <v>14972</v>
      </c>
      <c r="F233" s="224"/>
      <c r="G233" s="224">
        <v>5056</v>
      </c>
      <c r="H233" s="224"/>
      <c r="I233" s="224">
        <v>1744</v>
      </c>
      <c r="J233" s="224">
        <v>3100</v>
      </c>
      <c r="K233" s="224"/>
    </row>
    <row r="234" spans="1:11">
      <c r="A234" s="23" t="s">
        <v>285</v>
      </c>
      <c r="B234" s="23">
        <v>21</v>
      </c>
      <c r="C234" s="23">
        <v>21</v>
      </c>
      <c r="D234" s="224"/>
      <c r="E234" s="224">
        <v>168196</v>
      </c>
      <c r="F234" s="224">
        <v>58344</v>
      </c>
      <c r="G234" s="224">
        <v>73972</v>
      </c>
      <c r="H234" s="224">
        <v>750</v>
      </c>
      <c r="I234" s="224">
        <v>250</v>
      </c>
      <c r="J234" s="224">
        <v>500</v>
      </c>
      <c r="K234" s="224"/>
    </row>
    <row r="235" spans="1:11">
      <c r="A235" s="23" t="s">
        <v>285</v>
      </c>
      <c r="B235" s="23">
        <v>21</v>
      </c>
      <c r="C235" s="23">
        <v>25</v>
      </c>
      <c r="D235" s="224"/>
      <c r="E235" s="224"/>
      <c r="F235" s="224">
        <v>104167</v>
      </c>
      <c r="G235" s="224">
        <v>87235</v>
      </c>
      <c r="H235" s="224"/>
      <c r="I235" s="224"/>
      <c r="J235" s="224"/>
      <c r="K235" s="224"/>
    </row>
    <row r="236" spans="1:11">
      <c r="A236" s="23" t="s">
        <v>285</v>
      </c>
      <c r="B236" s="23">
        <v>21</v>
      </c>
      <c r="C236" s="23">
        <v>26</v>
      </c>
      <c r="D236" s="224"/>
      <c r="E236" s="224">
        <v>828783</v>
      </c>
      <c r="F236" s="224">
        <v>22292</v>
      </c>
      <c r="G236" s="224">
        <v>299397</v>
      </c>
      <c r="H236" s="224">
        <v>750</v>
      </c>
      <c r="I236" s="224">
        <v>1288036</v>
      </c>
      <c r="J236" s="224">
        <v>300</v>
      </c>
      <c r="K236" s="224"/>
    </row>
    <row r="237" spans="1:11">
      <c r="A237" s="23" t="s">
        <v>285</v>
      </c>
      <c r="B237" s="23">
        <v>21</v>
      </c>
      <c r="C237" s="23">
        <v>27</v>
      </c>
      <c r="D237" s="224"/>
      <c r="E237" s="224">
        <v>1782387</v>
      </c>
      <c r="F237" s="224">
        <v>621772</v>
      </c>
      <c r="G237" s="224">
        <v>1114775</v>
      </c>
      <c r="H237" s="224">
        <v>150</v>
      </c>
      <c r="I237" s="224">
        <v>357130</v>
      </c>
      <c r="J237" s="224"/>
      <c r="K237" s="224"/>
    </row>
    <row r="238" spans="1:11">
      <c r="A238" s="23" t="s">
        <v>285</v>
      </c>
      <c r="B238" s="23">
        <v>21</v>
      </c>
      <c r="C238" s="23">
        <v>29</v>
      </c>
      <c r="D238" s="224"/>
      <c r="E238" s="224"/>
      <c r="F238" s="224"/>
      <c r="G238" s="224"/>
      <c r="H238" s="224"/>
      <c r="I238" s="224">
        <v>292347</v>
      </c>
      <c r="J238" s="224"/>
      <c r="K238" s="224"/>
    </row>
    <row r="239" spans="1:11">
      <c r="A239" s="23" t="s">
        <v>285</v>
      </c>
      <c r="B239" s="23">
        <v>21</v>
      </c>
      <c r="C239" s="23">
        <v>31</v>
      </c>
      <c r="D239" s="224"/>
      <c r="E239" s="224">
        <v>42006</v>
      </c>
      <c r="F239" s="224"/>
      <c r="G239" s="224">
        <v>9933</v>
      </c>
      <c r="H239" s="224"/>
      <c r="I239" s="224">
        <v>1500</v>
      </c>
      <c r="J239" s="224">
        <v>750</v>
      </c>
      <c r="K239" s="224"/>
    </row>
    <row r="240" spans="1:11">
      <c r="A240" s="23" t="s">
        <v>285</v>
      </c>
      <c r="B240" s="23">
        <v>21</v>
      </c>
      <c r="C240" s="23">
        <v>32</v>
      </c>
      <c r="D240" s="224"/>
      <c r="E240" s="224"/>
      <c r="F240" s="224"/>
      <c r="G240" s="224"/>
      <c r="H240" s="224">
        <v>7500</v>
      </c>
      <c r="I240" s="224"/>
      <c r="J240" s="224"/>
      <c r="K240" s="224"/>
    </row>
    <row r="241" spans="1:11">
      <c r="A241" s="23" t="s">
        <v>285</v>
      </c>
      <c r="B241" s="23">
        <v>21</v>
      </c>
      <c r="C241" s="23">
        <v>34</v>
      </c>
      <c r="D241" s="224"/>
      <c r="E241" s="224">
        <v>42006</v>
      </c>
      <c r="F241" s="224"/>
      <c r="G241" s="224">
        <v>9933</v>
      </c>
      <c r="H241" s="224"/>
      <c r="I241" s="224"/>
      <c r="J241" s="224"/>
      <c r="K241" s="224"/>
    </row>
    <row r="242" spans="1:11">
      <c r="A242" s="23" t="s">
        <v>285</v>
      </c>
      <c r="B242" s="23">
        <v>24</v>
      </c>
      <c r="C242" s="23">
        <v>27</v>
      </c>
      <c r="D242" s="224"/>
      <c r="E242" s="224"/>
      <c r="F242" s="224">
        <v>452701</v>
      </c>
      <c r="G242" s="224">
        <v>287020</v>
      </c>
      <c r="H242" s="224">
        <v>9632</v>
      </c>
      <c r="I242" s="224">
        <v>105144</v>
      </c>
      <c r="J242" s="224"/>
      <c r="K242" s="224"/>
    </row>
    <row r="243" spans="1:11">
      <c r="A243" s="23" t="s">
        <v>287</v>
      </c>
      <c r="B243" s="23">
        <v>21</v>
      </c>
      <c r="C243" s="23">
        <v>21</v>
      </c>
      <c r="D243" s="224"/>
      <c r="E243" s="224">
        <v>241744</v>
      </c>
      <c r="F243" s="224">
        <v>69541</v>
      </c>
      <c r="G243" s="224">
        <v>124074</v>
      </c>
      <c r="H243" s="224">
        <v>3915</v>
      </c>
      <c r="I243" s="224">
        <v>21100</v>
      </c>
      <c r="J243" s="224">
        <v>750</v>
      </c>
      <c r="K243" s="224"/>
    </row>
    <row r="244" spans="1:11">
      <c r="A244" s="23" t="s">
        <v>287</v>
      </c>
      <c r="B244" s="23">
        <v>21</v>
      </c>
      <c r="C244" s="23">
        <v>25</v>
      </c>
      <c r="D244" s="224"/>
      <c r="E244" s="224"/>
      <c r="F244" s="224">
        <v>42292</v>
      </c>
      <c r="G244" s="224">
        <v>36036</v>
      </c>
      <c r="H244" s="224"/>
      <c r="I244" s="224"/>
      <c r="J244" s="224"/>
      <c r="K244" s="224"/>
    </row>
    <row r="245" spans="1:11">
      <c r="A245" s="23" t="s">
        <v>287</v>
      </c>
      <c r="B245" s="23">
        <v>21</v>
      </c>
      <c r="C245" s="23">
        <v>26</v>
      </c>
      <c r="D245" s="224"/>
      <c r="E245" s="224">
        <v>409554</v>
      </c>
      <c r="F245" s="224">
        <v>109358</v>
      </c>
      <c r="G245" s="224">
        <v>215603</v>
      </c>
      <c r="H245" s="224">
        <v>11200</v>
      </c>
      <c r="I245" s="224">
        <v>517156</v>
      </c>
      <c r="J245" s="224">
        <v>900</v>
      </c>
      <c r="K245" s="224"/>
    </row>
    <row r="246" spans="1:11">
      <c r="A246" s="23" t="s">
        <v>287</v>
      </c>
      <c r="B246" s="23">
        <v>21</v>
      </c>
      <c r="C246" s="23">
        <v>27</v>
      </c>
      <c r="D246" s="224">
        <v>2800</v>
      </c>
      <c r="E246" s="224">
        <v>2170938</v>
      </c>
      <c r="F246" s="224">
        <v>1003867</v>
      </c>
      <c r="G246" s="224">
        <v>1439025</v>
      </c>
      <c r="H246" s="224">
        <v>4400</v>
      </c>
      <c r="I246" s="224">
        <v>6900</v>
      </c>
      <c r="J246" s="224">
        <v>1900</v>
      </c>
      <c r="K246" s="224">
        <v>14299</v>
      </c>
    </row>
    <row r="247" spans="1:11">
      <c r="A247" s="23" t="s">
        <v>287</v>
      </c>
      <c r="B247" s="23">
        <v>21</v>
      </c>
      <c r="C247" s="23">
        <v>31</v>
      </c>
      <c r="D247" s="224"/>
      <c r="E247" s="224">
        <v>57047</v>
      </c>
      <c r="F247" s="224"/>
      <c r="G247" s="224">
        <v>13340</v>
      </c>
      <c r="H247" s="224"/>
      <c r="I247" s="224">
        <v>1000</v>
      </c>
      <c r="J247" s="224"/>
      <c r="K247" s="224"/>
    </row>
    <row r="248" spans="1:11">
      <c r="A248" s="23" t="s">
        <v>287</v>
      </c>
      <c r="B248" s="23">
        <v>21</v>
      </c>
      <c r="C248" s="23">
        <v>34</v>
      </c>
      <c r="D248" s="224"/>
      <c r="E248" s="224">
        <v>26355</v>
      </c>
      <c r="F248" s="224"/>
      <c r="G248" s="224">
        <v>6162</v>
      </c>
      <c r="H248" s="224"/>
      <c r="I248" s="224"/>
      <c r="J248" s="224"/>
      <c r="K248" s="224"/>
    </row>
    <row r="249" spans="1:11">
      <c r="A249" s="23" t="s">
        <v>287</v>
      </c>
      <c r="B249" s="23">
        <v>24</v>
      </c>
      <c r="C249" s="23">
        <v>27</v>
      </c>
      <c r="D249" s="224"/>
      <c r="E249" s="224"/>
      <c r="F249" s="224">
        <v>363767</v>
      </c>
      <c r="G249" s="224">
        <v>247188</v>
      </c>
      <c r="H249" s="224"/>
      <c r="I249" s="224"/>
      <c r="J249" s="224"/>
      <c r="K249" s="224"/>
    </row>
    <row r="250" spans="1:11">
      <c r="A250" s="23" t="s">
        <v>289</v>
      </c>
      <c r="B250" s="23">
        <v>21</v>
      </c>
      <c r="C250" s="23">
        <v>21</v>
      </c>
      <c r="D250" s="224"/>
      <c r="E250" s="224">
        <v>283750</v>
      </c>
      <c r="F250" s="224">
        <v>126744</v>
      </c>
      <c r="G250" s="224">
        <v>156562</v>
      </c>
      <c r="H250" s="224">
        <v>2500</v>
      </c>
      <c r="I250" s="224">
        <v>3000</v>
      </c>
      <c r="J250" s="224">
        <v>1000</v>
      </c>
      <c r="K250" s="224"/>
    </row>
    <row r="251" spans="1:11">
      <c r="A251" s="23" t="s">
        <v>289</v>
      </c>
      <c r="B251" s="23">
        <v>21</v>
      </c>
      <c r="C251" s="23">
        <v>24</v>
      </c>
      <c r="D251" s="224"/>
      <c r="E251" s="224">
        <v>70531</v>
      </c>
      <c r="F251" s="224"/>
      <c r="G251" s="224">
        <v>58719</v>
      </c>
      <c r="H251" s="224"/>
      <c r="I251" s="224"/>
      <c r="J251" s="224"/>
      <c r="K251" s="224"/>
    </row>
    <row r="252" spans="1:11">
      <c r="A252" s="23" t="s">
        <v>289</v>
      </c>
      <c r="B252" s="23">
        <v>21</v>
      </c>
      <c r="C252" s="23">
        <v>25</v>
      </c>
      <c r="D252" s="224"/>
      <c r="E252" s="224"/>
      <c r="F252" s="224">
        <v>128488</v>
      </c>
      <c r="G252" s="224">
        <v>111283</v>
      </c>
      <c r="H252" s="224"/>
      <c r="I252" s="224"/>
      <c r="J252" s="224"/>
      <c r="K252" s="224"/>
    </row>
    <row r="253" spans="1:11">
      <c r="A253" s="23" t="s">
        <v>289</v>
      </c>
      <c r="B253" s="23">
        <v>21</v>
      </c>
      <c r="C253" s="23">
        <v>26</v>
      </c>
      <c r="D253" s="224"/>
      <c r="E253" s="224">
        <v>2000058</v>
      </c>
      <c r="F253" s="224"/>
      <c r="G253" s="224">
        <v>736785</v>
      </c>
      <c r="H253" s="224">
        <v>6000</v>
      </c>
      <c r="I253" s="224">
        <v>200000</v>
      </c>
      <c r="J253" s="224">
        <v>2700</v>
      </c>
      <c r="K253" s="224"/>
    </row>
    <row r="254" spans="1:11">
      <c r="A254" s="23" t="s">
        <v>289</v>
      </c>
      <c r="B254" s="23">
        <v>21</v>
      </c>
      <c r="C254" s="23">
        <v>27</v>
      </c>
      <c r="D254" s="224">
        <v>5500</v>
      </c>
      <c r="E254" s="224">
        <v>2743719</v>
      </c>
      <c r="F254" s="224">
        <v>1681528</v>
      </c>
      <c r="G254" s="224">
        <v>2117178</v>
      </c>
      <c r="H254" s="224">
        <v>13812</v>
      </c>
      <c r="I254" s="224">
        <v>293000</v>
      </c>
      <c r="J254" s="224">
        <v>1500</v>
      </c>
      <c r="K254" s="224"/>
    </row>
    <row r="255" spans="1:11">
      <c r="A255" s="23" t="s">
        <v>289</v>
      </c>
      <c r="B255" s="23">
        <v>21</v>
      </c>
      <c r="C255" s="23">
        <v>31</v>
      </c>
      <c r="D255" s="224"/>
      <c r="E255" s="224">
        <v>56785</v>
      </c>
      <c r="F255" s="224"/>
      <c r="G255" s="224">
        <v>12967</v>
      </c>
      <c r="H255" s="224"/>
      <c r="I255" s="224"/>
      <c r="J255" s="224"/>
      <c r="K255" s="224"/>
    </row>
    <row r="256" spans="1:11">
      <c r="A256" s="23" t="s">
        <v>289</v>
      </c>
      <c r="B256" s="23">
        <v>21</v>
      </c>
      <c r="C256" s="23">
        <v>34</v>
      </c>
      <c r="D256" s="224"/>
      <c r="E256" s="224">
        <v>78079</v>
      </c>
      <c r="F256" s="224"/>
      <c r="G256" s="224">
        <v>18214</v>
      </c>
      <c r="H256" s="224"/>
      <c r="I256" s="224"/>
      <c r="J256" s="224"/>
      <c r="K256" s="224"/>
    </row>
    <row r="257" spans="1:11">
      <c r="A257" s="23" t="s">
        <v>289</v>
      </c>
      <c r="B257" s="23">
        <v>24</v>
      </c>
      <c r="C257" s="23">
        <v>27</v>
      </c>
      <c r="D257" s="224"/>
      <c r="E257" s="224">
        <v>764204</v>
      </c>
      <c r="F257" s="224"/>
      <c r="G257" s="224">
        <v>254942</v>
      </c>
      <c r="H257" s="224"/>
      <c r="I257" s="224"/>
      <c r="J257" s="224"/>
      <c r="K257" s="224"/>
    </row>
    <row r="258" spans="1:11">
      <c r="A258" s="23" t="s">
        <v>289</v>
      </c>
      <c r="B258" s="23">
        <v>24</v>
      </c>
      <c r="C258" s="23">
        <v>31</v>
      </c>
      <c r="D258" s="224"/>
      <c r="E258" s="224">
        <v>17102</v>
      </c>
      <c r="F258" s="224"/>
      <c r="G258" s="224">
        <v>3884</v>
      </c>
      <c r="H258" s="224"/>
      <c r="I258" s="224"/>
      <c r="J258" s="224"/>
      <c r="K258" s="224"/>
    </row>
    <row r="259" spans="1:11">
      <c r="A259" s="23" t="s">
        <v>291</v>
      </c>
      <c r="B259" s="23">
        <v>21</v>
      </c>
      <c r="C259" s="23">
        <v>21</v>
      </c>
      <c r="D259" s="224"/>
      <c r="E259" s="224">
        <v>49081</v>
      </c>
      <c r="F259" s="224">
        <v>30036</v>
      </c>
      <c r="G259" s="224">
        <v>40357</v>
      </c>
      <c r="H259" s="224"/>
      <c r="I259" s="224"/>
      <c r="J259" s="224"/>
      <c r="K259" s="224"/>
    </row>
    <row r="260" spans="1:11">
      <c r="A260" s="23" t="s">
        <v>291</v>
      </c>
      <c r="B260" s="23">
        <v>21</v>
      </c>
      <c r="C260" s="23">
        <v>26</v>
      </c>
      <c r="D260" s="224"/>
      <c r="E260" s="224">
        <v>160767</v>
      </c>
      <c r="F260" s="224"/>
      <c r="G260" s="224">
        <v>61888</v>
      </c>
      <c r="H260" s="224">
        <v>600</v>
      </c>
      <c r="I260" s="224">
        <v>82500</v>
      </c>
      <c r="J260" s="224"/>
      <c r="K260" s="224"/>
    </row>
    <row r="261" spans="1:11">
      <c r="A261" s="23" t="s">
        <v>291</v>
      </c>
      <c r="B261" s="23">
        <v>21</v>
      </c>
      <c r="C261" s="23">
        <v>27</v>
      </c>
      <c r="D261" s="224"/>
      <c r="E261" s="224">
        <v>197411</v>
      </c>
      <c r="F261" s="224">
        <v>370066</v>
      </c>
      <c r="G261" s="224">
        <v>318057</v>
      </c>
      <c r="H261" s="224"/>
      <c r="I261" s="224">
        <v>500</v>
      </c>
      <c r="J261" s="224">
        <v>500</v>
      </c>
      <c r="K261" s="224"/>
    </row>
    <row r="262" spans="1:11">
      <c r="A262" s="23" t="s">
        <v>291</v>
      </c>
      <c r="B262" s="23">
        <v>21</v>
      </c>
      <c r="C262" s="23">
        <v>32</v>
      </c>
      <c r="D262" s="224"/>
      <c r="E262" s="224"/>
      <c r="F262" s="224">
        <v>6541</v>
      </c>
      <c r="G262" s="224">
        <v>2616</v>
      </c>
      <c r="H262" s="224"/>
      <c r="I262" s="224"/>
      <c r="J262" s="224"/>
      <c r="K262" s="224"/>
    </row>
    <row r="263" spans="1:11">
      <c r="A263" s="23" t="s">
        <v>291</v>
      </c>
      <c r="B263" s="23">
        <v>21</v>
      </c>
      <c r="C263" s="23">
        <v>34</v>
      </c>
      <c r="D263" s="224"/>
      <c r="E263" s="224">
        <v>8240</v>
      </c>
      <c r="F263" s="224"/>
      <c r="G263" s="224">
        <v>1960</v>
      </c>
      <c r="H263" s="224"/>
      <c r="I263" s="224"/>
      <c r="J263" s="224"/>
      <c r="K263" s="224"/>
    </row>
    <row r="264" spans="1:11">
      <c r="A264" s="23" t="s">
        <v>291</v>
      </c>
      <c r="B264" s="23">
        <v>23</v>
      </c>
      <c r="C264" s="23">
        <v>27</v>
      </c>
      <c r="D264" s="224"/>
      <c r="E264" s="224"/>
      <c r="F264" s="224"/>
      <c r="G264" s="224"/>
      <c r="H264" s="224">
        <v>12437</v>
      </c>
      <c r="I264" s="224"/>
      <c r="J264" s="224"/>
      <c r="K264" s="224"/>
    </row>
    <row r="265" spans="1:11">
      <c r="A265" s="23" t="s">
        <v>291</v>
      </c>
      <c r="B265" s="23">
        <v>23</v>
      </c>
      <c r="C265" s="23">
        <v>31</v>
      </c>
      <c r="D265" s="224"/>
      <c r="E265" s="224"/>
      <c r="F265" s="224"/>
      <c r="G265" s="224"/>
      <c r="H265" s="224"/>
      <c r="I265" s="224">
        <v>732</v>
      </c>
      <c r="J265" s="224"/>
      <c r="K265" s="224"/>
    </row>
    <row r="266" spans="1:11">
      <c r="A266" s="23" t="s">
        <v>291</v>
      </c>
      <c r="B266" s="23">
        <v>24</v>
      </c>
      <c r="C266" s="23">
        <v>27</v>
      </c>
      <c r="D266" s="224"/>
      <c r="E266" s="224">
        <v>134946</v>
      </c>
      <c r="F266" s="224"/>
      <c r="G266" s="224">
        <v>51761</v>
      </c>
      <c r="H266" s="224">
        <v>332</v>
      </c>
      <c r="I266" s="224"/>
      <c r="J266" s="224"/>
      <c r="K266" s="224"/>
    </row>
    <row r="267" spans="1:11">
      <c r="A267" s="23" t="s">
        <v>19</v>
      </c>
      <c r="B267" s="23">
        <v>21</v>
      </c>
      <c r="C267" s="23">
        <v>21</v>
      </c>
      <c r="D267" s="224"/>
      <c r="E267" s="224">
        <v>47625</v>
      </c>
      <c r="F267" s="224">
        <v>27426</v>
      </c>
      <c r="G267" s="224">
        <v>29298</v>
      </c>
      <c r="H267" s="224">
        <v>1600</v>
      </c>
      <c r="I267" s="224">
        <v>2500</v>
      </c>
      <c r="J267" s="224">
        <v>1000</v>
      </c>
      <c r="K267" s="224"/>
    </row>
    <row r="268" spans="1:11">
      <c r="A268" s="23" t="s">
        <v>19</v>
      </c>
      <c r="B268" s="23">
        <v>21</v>
      </c>
      <c r="C268" s="23">
        <v>25</v>
      </c>
      <c r="D268" s="224"/>
      <c r="E268" s="224"/>
      <c r="F268" s="224">
        <v>15061</v>
      </c>
      <c r="G268" s="224">
        <v>10275</v>
      </c>
      <c r="H268" s="224"/>
      <c r="I268" s="224"/>
      <c r="J268" s="224"/>
      <c r="K268" s="224"/>
    </row>
    <row r="269" spans="1:11">
      <c r="A269" s="23" t="s">
        <v>19</v>
      </c>
      <c r="B269" s="23">
        <v>21</v>
      </c>
      <c r="C269" s="23">
        <v>26</v>
      </c>
      <c r="D269" s="224"/>
      <c r="E269" s="224">
        <v>248119</v>
      </c>
      <c r="F269" s="224"/>
      <c r="G269" s="224">
        <v>94324</v>
      </c>
      <c r="H269" s="224">
        <v>3700</v>
      </c>
      <c r="I269" s="224">
        <v>193950</v>
      </c>
      <c r="J269" s="224"/>
      <c r="K269" s="224"/>
    </row>
    <row r="270" spans="1:11">
      <c r="A270" s="23" t="s">
        <v>19</v>
      </c>
      <c r="B270" s="23">
        <v>21</v>
      </c>
      <c r="C270" s="23">
        <v>27</v>
      </c>
      <c r="D270" s="224"/>
      <c r="E270" s="224">
        <v>304795</v>
      </c>
      <c r="F270" s="224">
        <v>486087</v>
      </c>
      <c r="G270" s="224">
        <v>449603</v>
      </c>
      <c r="H270" s="224">
        <v>12100</v>
      </c>
      <c r="I270" s="224">
        <v>124176</v>
      </c>
      <c r="J270" s="224">
        <v>1000</v>
      </c>
      <c r="K270" s="224"/>
    </row>
    <row r="271" spans="1:11">
      <c r="A271" s="23" t="s">
        <v>19</v>
      </c>
      <c r="B271" s="23">
        <v>21</v>
      </c>
      <c r="C271" s="23">
        <v>31</v>
      </c>
      <c r="D271" s="224"/>
      <c r="E271" s="224">
        <v>9502</v>
      </c>
      <c r="F271" s="224"/>
      <c r="G271" s="224">
        <v>4537</v>
      </c>
      <c r="H271" s="224"/>
      <c r="I271" s="224"/>
      <c r="J271" s="224"/>
      <c r="K271" s="224"/>
    </row>
    <row r="272" spans="1:11">
      <c r="A272" s="23" t="s">
        <v>19</v>
      </c>
      <c r="B272" s="23">
        <v>21</v>
      </c>
      <c r="C272" s="23">
        <v>34</v>
      </c>
      <c r="D272" s="224"/>
      <c r="E272" s="224">
        <v>9502</v>
      </c>
      <c r="F272" s="224"/>
      <c r="G272" s="224"/>
      <c r="H272" s="224"/>
      <c r="I272" s="224"/>
      <c r="J272" s="224"/>
      <c r="K272" s="224"/>
    </row>
    <row r="273" spans="1:11">
      <c r="A273" s="23" t="s">
        <v>19</v>
      </c>
      <c r="B273" s="23">
        <v>24</v>
      </c>
      <c r="C273" s="23">
        <v>27</v>
      </c>
      <c r="D273" s="224"/>
      <c r="E273" s="224">
        <v>157017</v>
      </c>
      <c r="F273" s="224">
        <v>3507</v>
      </c>
      <c r="G273" s="224">
        <v>59704</v>
      </c>
      <c r="H273" s="224"/>
      <c r="I273" s="224">
        <v>6397</v>
      </c>
      <c r="J273" s="224"/>
      <c r="K273" s="224"/>
    </row>
    <row r="274" spans="1:11">
      <c r="A274" s="23" t="s">
        <v>19</v>
      </c>
      <c r="B274" s="23">
        <v>24</v>
      </c>
      <c r="C274" s="23">
        <v>31</v>
      </c>
      <c r="D274" s="224"/>
      <c r="E274" s="224">
        <v>5234</v>
      </c>
      <c r="F274" s="224"/>
      <c r="G274" s="224">
        <v>1207</v>
      </c>
      <c r="H274" s="224"/>
      <c r="I274" s="224"/>
      <c r="J274" s="224"/>
      <c r="K274" s="224"/>
    </row>
    <row r="275" spans="1:11">
      <c r="A275" s="23" t="s">
        <v>21</v>
      </c>
      <c r="B275" s="23">
        <v>21</v>
      </c>
      <c r="C275" s="23">
        <v>21</v>
      </c>
      <c r="D275" s="224"/>
      <c r="E275" s="224">
        <v>107563</v>
      </c>
      <c r="F275" s="224">
        <v>56927</v>
      </c>
      <c r="G275" s="224">
        <v>54041</v>
      </c>
      <c r="H275" s="224">
        <v>8500</v>
      </c>
      <c r="I275" s="224">
        <v>1850</v>
      </c>
      <c r="J275" s="224">
        <v>1000</v>
      </c>
      <c r="K275" s="224"/>
    </row>
    <row r="276" spans="1:11">
      <c r="A276" s="23" t="s">
        <v>21</v>
      </c>
      <c r="B276" s="23">
        <v>21</v>
      </c>
      <c r="C276" s="23">
        <v>26</v>
      </c>
      <c r="D276" s="224"/>
      <c r="E276" s="224">
        <v>886312</v>
      </c>
      <c r="F276" s="224"/>
      <c r="G276" s="224">
        <v>317094</v>
      </c>
      <c r="H276" s="224">
        <v>3640</v>
      </c>
      <c r="I276" s="224">
        <v>6500</v>
      </c>
      <c r="J276" s="224">
        <v>800</v>
      </c>
      <c r="K276" s="224"/>
    </row>
    <row r="277" spans="1:11">
      <c r="A277" s="23" t="s">
        <v>21</v>
      </c>
      <c r="B277" s="23">
        <v>21</v>
      </c>
      <c r="C277" s="23">
        <v>27</v>
      </c>
      <c r="D277" s="224">
        <v>2400</v>
      </c>
      <c r="E277" s="224">
        <v>1136929</v>
      </c>
      <c r="F277" s="224">
        <v>896243</v>
      </c>
      <c r="G277" s="224">
        <v>913039</v>
      </c>
      <c r="H277" s="224">
        <v>22700</v>
      </c>
      <c r="I277" s="224">
        <v>155000</v>
      </c>
      <c r="J277" s="224"/>
      <c r="K277" s="224"/>
    </row>
    <row r="278" spans="1:11">
      <c r="A278" s="23" t="s">
        <v>21</v>
      </c>
      <c r="B278" s="23">
        <v>21</v>
      </c>
      <c r="C278" s="23">
        <v>31</v>
      </c>
      <c r="D278" s="224"/>
      <c r="E278" s="224">
        <v>39878</v>
      </c>
      <c r="F278" s="224"/>
      <c r="G278" s="224">
        <v>1245</v>
      </c>
      <c r="H278" s="224">
        <v>500</v>
      </c>
      <c r="I278" s="224"/>
      <c r="J278" s="224"/>
      <c r="K278" s="224"/>
    </row>
    <row r="279" spans="1:11">
      <c r="A279" s="23" t="s">
        <v>21</v>
      </c>
      <c r="B279" s="23">
        <v>21</v>
      </c>
      <c r="C279" s="23">
        <v>34</v>
      </c>
      <c r="D279" s="224"/>
      <c r="E279" s="224">
        <v>30643</v>
      </c>
      <c r="F279" s="224"/>
      <c r="G279" s="224">
        <v>957</v>
      </c>
      <c r="H279" s="224"/>
      <c r="I279" s="224"/>
      <c r="J279" s="224"/>
      <c r="K279" s="224"/>
    </row>
    <row r="280" spans="1:11">
      <c r="A280" s="23" t="s">
        <v>21</v>
      </c>
      <c r="B280" s="23">
        <v>23</v>
      </c>
      <c r="C280" s="23">
        <v>27</v>
      </c>
      <c r="D280" s="224"/>
      <c r="E280" s="224"/>
      <c r="F280" s="224"/>
      <c r="G280" s="224"/>
      <c r="H280" s="224">
        <v>123344</v>
      </c>
      <c r="I280" s="224"/>
      <c r="J280" s="224"/>
      <c r="K280" s="224"/>
    </row>
    <row r="281" spans="1:11">
      <c r="A281" s="23" t="s">
        <v>21</v>
      </c>
      <c r="B281" s="23">
        <v>24</v>
      </c>
      <c r="C281" s="23">
        <v>27</v>
      </c>
      <c r="D281" s="224"/>
      <c r="E281" s="224">
        <v>64348</v>
      </c>
      <c r="F281" s="224">
        <v>394055</v>
      </c>
      <c r="G281" s="224">
        <v>290001</v>
      </c>
      <c r="H281" s="224">
        <v>22500</v>
      </c>
      <c r="I281" s="224"/>
      <c r="J281" s="224"/>
      <c r="K281" s="224"/>
    </row>
    <row r="282" spans="1:11">
      <c r="A282" s="23" t="s">
        <v>21</v>
      </c>
      <c r="B282" s="23">
        <v>24</v>
      </c>
      <c r="C282" s="23">
        <v>31</v>
      </c>
      <c r="D282" s="224"/>
      <c r="E282" s="224">
        <v>980</v>
      </c>
      <c r="F282" s="224"/>
      <c r="G282" s="224">
        <v>31</v>
      </c>
      <c r="H282" s="224"/>
      <c r="I282" s="224"/>
      <c r="J282" s="224"/>
      <c r="K282" s="224"/>
    </row>
    <row r="283" spans="1:11">
      <c r="A283" s="23" t="s">
        <v>23</v>
      </c>
      <c r="B283" s="23">
        <v>21</v>
      </c>
      <c r="C283" s="23">
        <v>21</v>
      </c>
      <c r="D283" s="224"/>
      <c r="E283" s="224">
        <v>85629</v>
      </c>
      <c r="F283" s="224">
        <v>18426</v>
      </c>
      <c r="G283" s="224">
        <v>32960</v>
      </c>
      <c r="H283" s="224">
        <v>400</v>
      </c>
      <c r="I283" s="224"/>
      <c r="J283" s="224">
        <v>500</v>
      </c>
      <c r="K283" s="224"/>
    </row>
    <row r="284" spans="1:11">
      <c r="A284" s="23" t="s">
        <v>23</v>
      </c>
      <c r="B284" s="23">
        <v>21</v>
      </c>
      <c r="C284" s="23">
        <v>23</v>
      </c>
      <c r="D284" s="224"/>
      <c r="E284" s="224"/>
      <c r="F284" s="224"/>
      <c r="G284" s="224"/>
      <c r="H284" s="224"/>
      <c r="I284" s="224">
        <v>2500</v>
      </c>
      <c r="J284" s="224">
        <v>500</v>
      </c>
      <c r="K284" s="224"/>
    </row>
    <row r="285" spans="1:11">
      <c r="A285" s="23" t="s">
        <v>23</v>
      </c>
      <c r="B285" s="23">
        <v>21</v>
      </c>
      <c r="C285" s="23">
        <v>26</v>
      </c>
      <c r="D285" s="224"/>
      <c r="E285" s="224">
        <v>103834</v>
      </c>
      <c r="F285" s="224">
        <v>61363</v>
      </c>
      <c r="G285" s="224">
        <v>62589</v>
      </c>
      <c r="H285" s="224"/>
      <c r="I285" s="224">
        <v>75000</v>
      </c>
      <c r="J285" s="224"/>
      <c r="K285" s="224"/>
    </row>
    <row r="286" spans="1:11">
      <c r="A286" s="23" t="s">
        <v>23</v>
      </c>
      <c r="B286" s="23">
        <v>21</v>
      </c>
      <c r="C286" s="23">
        <v>27</v>
      </c>
      <c r="D286" s="224"/>
      <c r="E286" s="224">
        <v>274136</v>
      </c>
      <c r="F286" s="224">
        <v>190658</v>
      </c>
      <c r="G286" s="224">
        <v>226936</v>
      </c>
      <c r="H286" s="224">
        <v>85000</v>
      </c>
      <c r="I286" s="224">
        <v>25000</v>
      </c>
      <c r="J286" s="224"/>
      <c r="K286" s="224"/>
    </row>
    <row r="287" spans="1:11">
      <c r="A287" s="23" t="s">
        <v>23</v>
      </c>
      <c r="B287" s="23">
        <v>21</v>
      </c>
      <c r="C287" s="23">
        <v>31</v>
      </c>
      <c r="D287" s="224"/>
      <c r="E287" s="224">
        <v>4000</v>
      </c>
      <c r="F287" s="224">
        <v>7499</v>
      </c>
      <c r="G287" s="224">
        <v>889</v>
      </c>
      <c r="H287" s="224">
        <v>500</v>
      </c>
      <c r="I287" s="224">
        <v>5000</v>
      </c>
      <c r="J287" s="224"/>
      <c r="K287" s="224"/>
    </row>
    <row r="288" spans="1:11">
      <c r="A288" s="23" t="s">
        <v>23</v>
      </c>
      <c r="B288" s="23">
        <v>21</v>
      </c>
      <c r="C288" s="23">
        <v>34</v>
      </c>
      <c r="D288" s="224"/>
      <c r="E288" s="224">
        <v>987</v>
      </c>
      <c r="F288" s="224"/>
      <c r="G288" s="224">
        <v>542</v>
      </c>
      <c r="H288" s="224"/>
      <c r="I288" s="224"/>
      <c r="J288" s="224"/>
      <c r="K288" s="224"/>
    </row>
    <row r="289" spans="1:11">
      <c r="A289" s="23" t="s">
        <v>23</v>
      </c>
      <c r="B289" s="23">
        <v>24</v>
      </c>
      <c r="C289" s="23">
        <v>27</v>
      </c>
      <c r="D289" s="224"/>
      <c r="E289" s="224">
        <v>60980</v>
      </c>
      <c r="F289" s="224">
        <v>136017</v>
      </c>
      <c r="G289" s="224">
        <v>76641</v>
      </c>
      <c r="H289" s="224"/>
      <c r="I289" s="224"/>
      <c r="J289" s="224"/>
      <c r="K289" s="224"/>
    </row>
    <row r="290" spans="1:11">
      <c r="A290" s="23" t="s">
        <v>25</v>
      </c>
      <c r="B290" s="23">
        <v>21</v>
      </c>
      <c r="C290" s="23">
        <v>21</v>
      </c>
      <c r="D290" s="224"/>
      <c r="E290" s="224">
        <v>193278</v>
      </c>
      <c r="F290" s="224">
        <v>232249</v>
      </c>
      <c r="G290" s="224">
        <v>153269</v>
      </c>
      <c r="H290" s="224"/>
      <c r="I290" s="224"/>
      <c r="J290" s="224"/>
      <c r="K290" s="224"/>
    </row>
    <row r="291" spans="1:11">
      <c r="A291" s="23" t="s">
        <v>25</v>
      </c>
      <c r="B291" s="23">
        <v>21</v>
      </c>
      <c r="C291" s="23">
        <v>24</v>
      </c>
      <c r="D291" s="224"/>
      <c r="E291" s="224">
        <v>438674</v>
      </c>
      <c r="F291" s="224"/>
      <c r="G291" s="224">
        <v>152929</v>
      </c>
      <c r="H291" s="224"/>
      <c r="I291" s="224"/>
      <c r="J291" s="224"/>
      <c r="K291" s="224"/>
    </row>
    <row r="292" spans="1:11">
      <c r="A292" s="23" t="s">
        <v>25</v>
      </c>
      <c r="B292" s="23">
        <v>21</v>
      </c>
      <c r="C292" s="23">
        <v>26</v>
      </c>
      <c r="D292" s="224"/>
      <c r="E292" s="224">
        <v>4431816</v>
      </c>
      <c r="F292" s="224">
        <v>780860</v>
      </c>
      <c r="G292" s="224">
        <v>1981278</v>
      </c>
      <c r="H292" s="224"/>
      <c r="I292" s="224"/>
      <c r="J292" s="224"/>
      <c r="K292" s="224"/>
    </row>
    <row r="293" spans="1:11">
      <c r="A293" s="23" t="s">
        <v>25</v>
      </c>
      <c r="B293" s="23">
        <v>21</v>
      </c>
      <c r="C293" s="23">
        <v>27</v>
      </c>
      <c r="D293" s="224"/>
      <c r="E293" s="224">
        <v>9921084</v>
      </c>
      <c r="F293" s="224">
        <v>7852448</v>
      </c>
      <c r="G293" s="224">
        <v>7916163</v>
      </c>
      <c r="H293" s="224">
        <v>255000</v>
      </c>
      <c r="I293" s="224"/>
      <c r="J293" s="224"/>
      <c r="K293" s="224"/>
    </row>
    <row r="294" spans="1:11">
      <c r="A294" s="23" t="s">
        <v>25</v>
      </c>
      <c r="B294" s="23">
        <v>21</v>
      </c>
      <c r="C294" s="23">
        <v>31</v>
      </c>
      <c r="D294" s="224"/>
      <c r="E294" s="224">
        <v>549922</v>
      </c>
      <c r="F294" s="224"/>
      <c r="G294" s="224">
        <v>123777</v>
      </c>
      <c r="H294" s="224"/>
      <c r="I294" s="224"/>
      <c r="J294" s="224"/>
      <c r="K294" s="224"/>
    </row>
    <row r="295" spans="1:11">
      <c r="A295" s="23" t="s">
        <v>25</v>
      </c>
      <c r="B295" s="23">
        <v>24</v>
      </c>
      <c r="C295" s="23">
        <v>21</v>
      </c>
      <c r="D295" s="224"/>
      <c r="E295" s="224">
        <v>625088</v>
      </c>
      <c r="F295" s="224"/>
      <c r="G295" s="224">
        <v>192604</v>
      </c>
      <c r="H295" s="224"/>
      <c r="I295" s="224"/>
      <c r="J295" s="224"/>
      <c r="K295" s="224"/>
    </row>
    <row r="296" spans="1:11">
      <c r="A296" s="23" t="s">
        <v>25</v>
      </c>
      <c r="B296" s="23">
        <v>24</v>
      </c>
      <c r="C296" s="23">
        <v>26</v>
      </c>
      <c r="D296" s="224"/>
      <c r="E296" s="224">
        <v>968198</v>
      </c>
      <c r="F296" s="224"/>
      <c r="G296" s="224">
        <v>341478</v>
      </c>
      <c r="H296" s="224">
        <v>30204</v>
      </c>
      <c r="I296" s="224"/>
      <c r="J296" s="224"/>
      <c r="K296" s="224"/>
    </row>
    <row r="297" spans="1:11">
      <c r="A297" s="23" t="s">
        <v>25</v>
      </c>
      <c r="B297" s="23">
        <v>24</v>
      </c>
      <c r="C297" s="23">
        <v>27</v>
      </c>
      <c r="D297" s="224"/>
      <c r="E297" s="224"/>
      <c r="F297" s="224"/>
      <c r="G297" s="224"/>
      <c r="H297" s="224">
        <v>327</v>
      </c>
      <c r="I297" s="224"/>
      <c r="J297" s="224"/>
      <c r="K297" s="224"/>
    </row>
    <row r="298" spans="1:11">
      <c r="A298" s="23" t="s">
        <v>25</v>
      </c>
      <c r="B298" s="23">
        <v>24</v>
      </c>
      <c r="C298" s="23">
        <v>31</v>
      </c>
      <c r="D298" s="224"/>
      <c r="E298" s="224">
        <v>374333</v>
      </c>
      <c r="F298" s="224"/>
      <c r="G298" s="224">
        <v>122501</v>
      </c>
      <c r="H298" s="224"/>
      <c r="I298" s="224"/>
      <c r="J298" s="224"/>
      <c r="K298" s="224"/>
    </row>
    <row r="299" spans="1:11">
      <c r="A299" s="23" t="s">
        <v>25</v>
      </c>
      <c r="B299" s="23">
        <v>26</v>
      </c>
      <c r="C299" s="23">
        <v>23</v>
      </c>
      <c r="D299" s="224"/>
      <c r="E299" s="224">
        <v>205993</v>
      </c>
      <c r="F299" s="224">
        <v>138398</v>
      </c>
      <c r="G299" s="224">
        <v>113343</v>
      </c>
      <c r="H299" s="224"/>
      <c r="I299" s="224"/>
      <c r="J299" s="224"/>
      <c r="K299" s="224"/>
    </row>
    <row r="300" spans="1:11">
      <c r="A300" s="23" t="s">
        <v>25</v>
      </c>
      <c r="B300" s="23">
        <v>26</v>
      </c>
      <c r="C300" s="23">
        <v>24</v>
      </c>
      <c r="D300" s="224"/>
      <c r="E300" s="224">
        <v>108558</v>
      </c>
      <c r="F300" s="224"/>
      <c r="G300" s="224">
        <v>38461</v>
      </c>
      <c r="H300" s="224"/>
      <c r="I300" s="224"/>
      <c r="J300" s="224"/>
      <c r="K300" s="224"/>
    </row>
    <row r="301" spans="1:11">
      <c r="A301" s="23" t="s">
        <v>25</v>
      </c>
      <c r="B301" s="23">
        <v>26</v>
      </c>
      <c r="C301" s="23">
        <v>26</v>
      </c>
      <c r="D301" s="224"/>
      <c r="E301" s="224">
        <v>116901</v>
      </c>
      <c r="F301" s="224"/>
      <c r="G301" s="224">
        <v>39018</v>
      </c>
      <c r="H301" s="224"/>
      <c r="I301" s="224"/>
      <c r="J301" s="224"/>
      <c r="K301" s="224"/>
    </row>
    <row r="302" spans="1:11">
      <c r="A302" s="23" t="s">
        <v>25</v>
      </c>
      <c r="B302" s="23">
        <v>26</v>
      </c>
      <c r="C302" s="23">
        <v>27</v>
      </c>
      <c r="D302" s="224">
        <v>500</v>
      </c>
      <c r="E302" s="224">
        <v>584421</v>
      </c>
      <c r="F302" s="224">
        <v>156478</v>
      </c>
      <c r="G302" s="224">
        <v>298150</v>
      </c>
      <c r="H302" s="224">
        <v>84077</v>
      </c>
      <c r="I302" s="224">
        <v>68000</v>
      </c>
      <c r="J302" s="224"/>
      <c r="K302" s="224"/>
    </row>
    <row r="303" spans="1:11">
      <c r="A303" s="23" t="s">
        <v>25</v>
      </c>
      <c r="B303" s="23">
        <v>26</v>
      </c>
      <c r="C303" s="23">
        <v>31</v>
      </c>
      <c r="D303" s="224"/>
      <c r="E303" s="224">
        <v>29085</v>
      </c>
      <c r="F303" s="224"/>
      <c r="G303" s="224">
        <v>6541</v>
      </c>
      <c r="H303" s="224"/>
      <c r="I303" s="224">
        <v>8000</v>
      </c>
      <c r="J303" s="224"/>
      <c r="K303" s="224"/>
    </row>
    <row r="304" spans="1:11">
      <c r="A304" s="23" t="s">
        <v>25</v>
      </c>
      <c r="B304" s="23">
        <v>29</v>
      </c>
      <c r="C304" s="23">
        <v>27</v>
      </c>
      <c r="D304" s="224"/>
      <c r="E304" s="224"/>
      <c r="F304" s="224"/>
      <c r="G304" s="224"/>
      <c r="H304" s="224">
        <v>1000000</v>
      </c>
      <c r="I304" s="224"/>
      <c r="J304" s="224"/>
      <c r="K304" s="224"/>
    </row>
    <row r="305" spans="1:11">
      <c r="A305" s="23" t="s">
        <v>27</v>
      </c>
      <c r="B305" s="23">
        <v>21</v>
      </c>
      <c r="C305" s="23">
        <v>21</v>
      </c>
      <c r="D305" s="224"/>
      <c r="E305" s="224">
        <v>28197</v>
      </c>
      <c r="F305" s="224">
        <v>28994</v>
      </c>
      <c r="G305" s="224">
        <v>26291</v>
      </c>
      <c r="H305" s="224"/>
      <c r="I305" s="224"/>
      <c r="J305" s="224"/>
      <c r="K305" s="224"/>
    </row>
    <row r="306" spans="1:11">
      <c r="A306" s="23" t="s">
        <v>27</v>
      </c>
      <c r="B306" s="23">
        <v>21</v>
      </c>
      <c r="C306" s="23">
        <v>26</v>
      </c>
      <c r="D306" s="224"/>
      <c r="E306" s="224"/>
      <c r="F306" s="224"/>
      <c r="G306" s="224"/>
      <c r="H306" s="224">
        <v>2500</v>
      </c>
      <c r="I306" s="224">
        <v>185000</v>
      </c>
      <c r="J306" s="224"/>
      <c r="K306" s="224"/>
    </row>
    <row r="307" spans="1:11">
      <c r="A307" s="23" t="s">
        <v>27</v>
      </c>
      <c r="B307" s="23">
        <v>21</v>
      </c>
      <c r="C307" s="23">
        <v>27</v>
      </c>
      <c r="D307" s="224">
        <v>750</v>
      </c>
      <c r="E307" s="224">
        <v>243935</v>
      </c>
      <c r="F307" s="224">
        <v>134716</v>
      </c>
      <c r="G307" s="224">
        <v>196655</v>
      </c>
      <c r="H307" s="224">
        <v>9500</v>
      </c>
      <c r="I307" s="224">
        <v>16500</v>
      </c>
      <c r="J307" s="224"/>
      <c r="K307" s="224"/>
    </row>
    <row r="308" spans="1:11">
      <c r="A308" s="23" t="s">
        <v>27</v>
      </c>
      <c r="B308" s="23">
        <v>21</v>
      </c>
      <c r="C308" s="23">
        <v>31</v>
      </c>
      <c r="D308" s="224"/>
      <c r="E308" s="224">
        <v>2874</v>
      </c>
      <c r="F308" s="224"/>
      <c r="G308" s="224">
        <v>336</v>
      </c>
      <c r="H308" s="224"/>
      <c r="I308" s="224">
        <v>4000</v>
      </c>
      <c r="J308" s="224">
        <v>4000</v>
      </c>
      <c r="K308" s="224"/>
    </row>
    <row r="309" spans="1:11">
      <c r="A309" s="23" t="s">
        <v>27</v>
      </c>
      <c r="B309" s="23">
        <v>21</v>
      </c>
      <c r="C309" s="23">
        <v>34</v>
      </c>
      <c r="D309" s="224"/>
      <c r="E309" s="224">
        <v>1078</v>
      </c>
      <c r="F309" s="224"/>
      <c r="G309" s="224">
        <v>249</v>
      </c>
      <c r="H309" s="224"/>
      <c r="I309" s="224"/>
      <c r="J309" s="224"/>
      <c r="K309" s="224"/>
    </row>
    <row r="310" spans="1:11">
      <c r="A310" s="23" t="s">
        <v>27</v>
      </c>
      <c r="B310" s="23">
        <v>24</v>
      </c>
      <c r="C310" s="23">
        <v>27</v>
      </c>
      <c r="D310" s="224"/>
      <c r="E310" s="224"/>
      <c r="F310" s="224">
        <v>59666</v>
      </c>
      <c r="G310" s="224">
        <v>45664</v>
      </c>
      <c r="H310" s="224"/>
      <c r="I310" s="224">
        <v>4122</v>
      </c>
      <c r="J310" s="224"/>
      <c r="K310" s="224"/>
    </row>
    <row r="311" spans="1:11">
      <c r="A311" s="23" t="s">
        <v>29</v>
      </c>
      <c r="B311" s="23">
        <v>21</v>
      </c>
      <c r="C311" s="23">
        <v>21</v>
      </c>
      <c r="D311" s="224"/>
      <c r="E311" s="224">
        <v>71420</v>
      </c>
      <c r="F311" s="224">
        <v>34012</v>
      </c>
      <c r="G311" s="224">
        <v>39287</v>
      </c>
      <c r="H311" s="224"/>
      <c r="I311" s="224"/>
      <c r="J311" s="224">
        <v>1500</v>
      </c>
      <c r="K311" s="224"/>
    </row>
    <row r="312" spans="1:11">
      <c r="A312" s="23" t="s">
        <v>29</v>
      </c>
      <c r="B312" s="23">
        <v>21</v>
      </c>
      <c r="C312" s="23">
        <v>25</v>
      </c>
      <c r="D312" s="224"/>
      <c r="E312" s="224"/>
      <c r="F312" s="224">
        <v>29855</v>
      </c>
      <c r="G312" s="224">
        <v>31021</v>
      </c>
      <c r="H312" s="224"/>
      <c r="I312" s="224"/>
      <c r="J312" s="224"/>
      <c r="K312" s="224"/>
    </row>
    <row r="313" spans="1:11">
      <c r="A313" s="23" t="s">
        <v>29</v>
      </c>
      <c r="B313" s="23">
        <v>21</v>
      </c>
      <c r="C313" s="23">
        <v>26</v>
      </c>
      <c r="D313" s="224"/>
      <c r="E313" s="224">
        <v>76961</v>
      </c>
      <c r="F313" s="224">
        <v>16681</v>
      </c>
      <c r="G313" s="224">
        <v>51866</v>
      </c>
      <c r="H313" s="224">
        <v>1250</v>
      </c>
      <c r="I313" s="224">
        <v>421200</v>
      </c>
      <c r="J313" s="224"/>
      <c r="K313" s="224"/>
    </row>
    <row r="314" spans="1:11">
      <c r="A314" s="23" t="s">
        <v>29</v>
      </c>
      <c r="B314" s="23">
        <v>21</v>
      </c>
      <c r="C314" s="23">
        <v>27</v>
      </c>
      <c r="D314" s="224"/>
      <c r="E314" s="224">
        <v>955894</v>
      </c>
      <c r="F314" s="224">
        <v>555929</v>
      </c>
      <c r="G314" s="224">
        <v>742940</v>
      </c>
      <c r="H314" s="224"/>
      <c r="I314" s="224">
        <v>9550</v>
      </c>
      <c r="J314" s="224"/>
      <c r="K314" s="224"/>
    </row>
    <row r="315" spans="1:11">
      <c r="A315" s="23" t="s">
        <v>29</v>
      </c>
      <c r="B315" s="23">
        <v>21</v>
      </c>
      <c r="C315" s="23">
        <v>33</v>
      </c>
      <c r="D315" s="224"/>
      <c r="E315" s="224"/>
      <c r="F315" s="224"/>
      <c r="G315" s="224"/>
      <c r="H315" s="224">
        <v>500</v>
      </c>
      <c r="I315" s="224"/>
      <c r="J315" s="224"/>
      <c r="K315" s="224"/>
    </row>
    <row r="316" spans="1:11">
      <c r="A316" s="23" t="s">
        <v>29</v>
      </c>
      <c r="B316" s="23">
        <v>21</v>
      </c>
      <c r="C316" s="23">
        <v>34</v>
      </c>
      <c r="D316" s="224"/>
      <c r="E316" s="224">
        <v>15675</v>
      </c>
      <c r="F316" s="224"/>
      <c r="G316" s="224">
        <v>2670</v>
      </c>
      <c r="H316" s="224"/>
      <c r="I316" s="224"/>
      <c r="J316" s="224"/>
      <c r="K316" s="224"/>
    </row>
    <row r="317" spans="1:11">
      <c r="A317" s="23" t="s">
        <v>29</v>
      </c>
      <c r="B317" s="23">
        <v>23</v>
      </c>
      <c r="C317" s="23">
        <v>27</v>
      </c>
      <c r="D317" s="224"/>
      <c r="E317" s="224"/>
      <c r="F317" s="224">
        <v>24459</v>
      </c>
      <c r="G317" s="224">
        <v>17530</v>
      </c>
      <c r="H317" s="224"/>
      <c r="I317" s="224"/>
      <c r="J317" s="224"/>
      <c r="K317" s="224"/>
    </row>
    <row r="318" spans="1:11">
      <c r="A318" s="23" t="s">
        <v>29</v>
      </c>
      <c r="B318" s="23">
        <v>24</v>
      </c>
      <c r="C318" s="23">
        <v>27</v>
      </c>
      <c r="D318" s="224"/>
      <c r="E318" s="224"/>
      <c r="F318" s="224">
        <v>220432</v>
      </c>
      <c r="G318" s="224">
        <v>155778</v>
      </c>
      <c r="H318" s="224">
        <v>2637</v>
      </c>
      <c r="I318" s="224">
        <v>7661</v>
      </c>
      <c r="J318" s="224"/>
      <c r="K318" s="224"/>
    </row>
    <row r="319" spans="1:11">
      <c r="A319" s="23" t="s">
        <v>148</v>
      </c>
      <c r="B319" s="23">
        <v>21</v>
      </c>
      <c r="C319" s="23">
        <v>21</v>
      </c>
      <c r="D319" s="224"/>
      <c r="E319" s="224">
        <v>3271</v>
      </c>
      <c r="F319" s="224"/>
      <c r="G319" s="224">
        <v>740</v>
      </c>
      <c r="H319" s="224"/>
      <c r="I319" s="224"/>
      <c r="J319" s="224"/>
      <c r="K319" s="224"/>
    </row>
    <row r="320" spans="1:11">
      <c r="A320" s="23" t="s">
        <v>148</v>
      </c>
      <c r="B320" s="23">
        <v>21</v>
      </c>
      <c r="C320" s="23">
        <v>27</v>
      </c>
      <c r="D320" s="224"/>
      <c r="E320" s="224">
        <v>74999</v>
      </c>
      <c r="F320" s="224">
        <v>58016</v>
      </c>
      <c r="G320" s="224">
        <v>67650</v>
      </c>
      <c r="H320" s="224">
        <v>1500</v>
      </c>
      <c r="I320" s="224">
        <v>73000</v>
      </c>
      <c r="J320" s="224">
        <v>100</v>
      </c>
      <c r="K320" s="224">
        <v>1750</v>
      </c>
    </row>
    <row r="321" spans="1:11">
      <c r="A321" s="23" t="s">
        <v>148</v>
      </c>
      <c r="B321" s="23">
        <v>24</v>
      </c>
      <c r="C321" s="23">
        <v>26</v>
      </c>
      <c r="D321" s="224"/>
      <c r="E321" s="224"/>
      <c r="F321" s="224"/>
      <c r="G321" s="224"/>
      <c r="H321" s="224"/>
      <c r="I321" s="224">
        <v>38208</v>
      </c>
      <c r="J321" s="224"/>
      <c r="K321" s="224"/>
    </row>
    <row r="322" spans="1:11">
      <c r="A322" s="23" t="s">
        <v>150</v>
      </c>
      <c r="B322" s="23">
        <v>21</v>
      </c>
      <c r="C322" s="23">
        <v>26</v>
      </c>
      <c r="D322" s="224"/>
      <c r="E322" s="224"/>
      <c r="F322" s="224"/>
      <c r="G322" s="224"/>
      <c r="H322" s="224"/>
      <c r="I322" s="224">
        <v>4500</v>
      </c>
      <c r="J322" s="224"/>
      <c r="K322" s="224"/>
    </row>
    <row r="323" spans="1:11">
      <c r="A323" s="23" t="s">
        <v>150</v>
      </c>
      <c r="B323" s="23">
        <v>21</v>
      </c>
      <c r="C323" s="23">
        <v>27</v>
      </c>
      <c r="D323" s="224"/>
      <c r="E323" s="224">
        <v>79297</v>
      </c>
      <c r="F323" s="224">
        <v>52745</v>
      </c>
      <c r="G323" s="224">
        <v>66324</v>
      </c>
      <c r="H323" s="224">
        <v>400</v>
      </c>
      <c r="I323" s="224"/>
      <c r="J323" s="224"/>
      <c r="K323" s="224"/>
    </row>
    <row r="324" spans="1:11">
      <c r="A324" s="23" t="s">
        <v>150</v>
      </c>
      <c r="B324" s="23">
        <v>21</v>
      </c>
      <c r="C324" s="23">
        <v>34</v>
      </c>
      <c r="D324" s="224"/>
      <c r="E324" s="224">
        <v>1293</v>
      </c>
      <c r="F324" s="224"/>
      <c r="G324" s="224">
        <v>299</v>
      </c>
      <c r="H324" s="224"/>
      <c r="I324" s="224"/>
      <c r="J324" s="224"/>
      <c r="K324" s="224"/>
    </row>
    <row r="325" spans="1:11">
      <c r="A325" s="23" t="s">
        <v>150</v>
      </c>
      <c r="B325" s="23">
        <v>24</v>
      </c>
      <c r="C325" s="23">
        <v>26</v>
      </c>
      <c r="D325" s="224"/>
      <c r="E325" s="224"/>
      <c r="F325" s="224"/>
      <c r="G325" s="224"/>
      <c r="H325" s="224"/>
      <c r="I325" s="224">
        <v>28849</v>
      </c>
      <c r="J325" s="224"/>
      <c r="K325" s="224"/>
    </row>
    <row r="326" spans="1:11">
      <c r="A326" s="23" t="s">
        <v>150</v>
      </c>
      <c r="B326" s="23">
        <v>29</v>
      </c>
      <c r="C326" s="23">
        <v>26</v>
      </c>
      <c r="D326" s="224"/>
      <c r="E326" s="224"/>
      <c r="F326" s="224"/>
      <c r="G326" s="224"/>
      <c r="H326" s="224"/>
      <c r="I326" s="224">
        <v>37774</v>
      </c>
      <c r="J326" s="224"/>
      <c r="K326" s="224"/>
    </row>
    <row r="327" spans="1:11">
      <c r="A327" s="23" t="s">
        <v>133</v>
      </c>
      <c r="B327" s="23">
        <v>21</v>
      </c>
      <c r="C327" s="23">
        <v>21</v>
      </c>
      <c r="D327" s="224"/>
      <c r="E327" s="224"/>
      <c r="F327" s="224">
        <v>9647</v>
      </c>
      <c r="G327" s="224">
        <v>5568</v>
      </c>
      <c r="H327" s="224">
        <v>5621</v>
      </c>
      <c r="I327" s="224"/>
      <c r="J327" s="224"/>
      <c r="K327" s="224"/>
    </row>
    <row r="328" spans="1:11">
      <c r="A328" s="23" t="s">
        <v>133</v>
      </c>
      <c r="B328" s="23">
        <v>21</v>
      </c>
      <c r="C328" s="23">
        <v>26</v>
      </c>
      <c r="D328" s="224"/>
      <c r="E328" s="224">
        <v>82577</v>
      </c>
      <c r="F328" s="224"/>
      <c r="G328" s="224">
        <v>32574</v>
      </c>
      <c r="H328" s="224"/>
      <c r="I328" s="224">
        <v>230040</v>
      </c>
      <c r="J328" s="224"/>
      <c r="K328" s="224"/>
    </row>
    <row r="329" spans="1:11">
      <c r="A329" s="23" t="s">
        <v>133</v>
      </c>
      <c r="B329" s="23">
        <v>21</v>
      </c>
      <c r="C329" s="23">
        <v>27</v>
      </c>
      <c r="D329" s="224"/>
      <c r="E329" s="224">
        <v>387792</v>
      </c>
      <c r="F329" s="224">
        <v>219254</v>
      </c>
      <c r="G329" s="224">
        <v>313527</v>
      </c>
      <c r="H329" s="224"/>
      <c r="I329" s="224">
        <v>105000</v>
      </c>
      <c r="J329" s="224"/>
      <c r="K329" s="224"/>
    </row>
    <row r="330" spans="1:11">
      <c r="A330" s="23" t="s">
        <v>133</v>
      </c>
      <c r="B330" s="23">
        <v>21</v>
      </c>
      <c r="C330" s="23">
        <v>31</v>
      </c>
      <c r="D330" s="224"/>
      <c r="E330" s="224">
        <v>5824</v>
      </c>
      <c r="F330" s="224"/>
      <c r="G330" s="224">
        <v>1413</v>
      </c>
      <c r="H330" s="224">
        <v>1000</v>
      </c>
      <c r="I330" s="224">
        <v>5000</v>
      </c>
      <c r="J330" s="224">
        <v>2500</v>
      </c>
      <c r="K330" s="224"/>
    </row>
    <row r="331" spans="1:11">
      <c r="A331" s="23" t="s">
        <v>133</v>
      </c>
      <c r="B331" s="23">
        <v>21</v>
      </c>
      <c r="C331" s="23">
        <v>34</v>
      </c>
      <c r="D331" s="224"/>
      <c r="E331" s="224">
        <v>8736</v>
      </c>
      <c r="F331" s="224"/>
      <c r="G331" s="224">
        <v>2120</v>
      </c>
      <c r="H331" s="224"/>
      <c r="I331" s="224"/>
      <c r="J331" s="224"/>
      <c r="K331" s="224"/>
    </row>
    <row r="332" spans="1:11">
      <c r="A332" s="23" t="s">
        <v>133</v>
      </c>
      <c r="B332" s="23">
        <v>24</v>
      </c>
      <c r="C332" s="23">
        <v>21</v>
      </c>
      <c r="D332" s="224"/>
      <c r="E332" s="224"/>
      <c r="F332" s="224"/>
      <c r="G332" s="224"/>
      <c r="H332" s="224">
        <v>4500</v>
      </c>
      <c r="I332" s="224">
        <v>55440</v>
      </c>
      <c r="J332" s="224"/>
      <c r="K332" s="224"/>
    </row>
    <row r="333" spans="1:11">
      <c r="A333" s="23" t="s">
        <v>133</v>
      </c>
      <c r="B333" s="23">
        <v>24</v>
      </c>
      <c r="C333" s="23">
        <v>26</v>
      </c>
      <c r="D333" s="224"/>
      <c r="E333" s="224"/>
      <c r="F333" s="224"/>
      <c r="G333" s="224"/>
      <c r="H333" s="224">
        <v>2212</v>
      </c>
      <c r="I333" s="224">
        <v>92656</v>
      </c>
      <c r="J333" s="224"/>
      <c r="K333" s="224"/>
    </row>
    <row r="334" spans="1:11">
      <c r="A334" s="23" t="s">
        <v>133</v>
      </c>
      <c r="B334" s="23">
        <v>24</v>
      </c>
      <c r="C334" s="23">
        <v>27</v>
      </c>
      <c r="D334" s="224"/>
      <c r="E334" s="224"/>
      <c r="F334" s="224">
        <v>52903</v>
      </c>
      <c r="G334" s="224">
        <v>38289</v>
      </c>
      <c r="H334" s="224">
        <v>3450</v>
      </c>
      <c r="I334" s="224">
        <v>11336</v>
      </c>
      <c r="J334" s="224"/>
      <c r="K334" s="224"/>
    </row>
    <row r="335" spans="1:11">
      <c r="A335" s="23" t="s">
        <v>133</v>
      </c>
      <c r="B335" s="23">
        <v>24</v>
      </c>
      <c r="C335" s="23">
        <v>31</v>
      </c>
      <c r="D335" s="224"/>
      <c r="E335" s="224"/>
      <c r="F335" s="224"/>
      <c r="G335" s="224"/>
      <c r="H335" s="224">
        <v>500</v>
      </c>
      <c r="I335" s="224">
        <v>6000</v>
      </c>
      <c r="J335" s="224">
        <v>980</v>
      </c>
      <c r="K335" s="224"/>
    </row>
    <row r="336" spans="1:11">
      <c r="A336" s="23" t="s">
        <v>134</v>
      </c>
      <c r="B336" s="23">
        <v>21</v>
      </c>
      <c r="C336" s="23">
        <v>21</v>
      </c>
      <c r="D336" s="224"/>
      <c r="E336" s="224">
        <v>90665</v>
      </c>
      <c r="F336" s="224">
        <v>65655</v>
      </c>
      <c r="G336" s="224">
        <v>56959</v>
      </c>
      <c r="H336" s="224">
        <v>1000</v>
      </c>
      <c r="I336" s="224"/>
      <c r="J336" s="224"/>
      <c r="K336" s="224"/>
    </row>
    <row r="337" spans="1:11">
      <c r="A337" s="23" t="s">
        <v>134</v>
      </c>
      <c r="B337" s="23">
        <v>21</v>
      </c>
      <c r="C337" s="23">
        <v>26</v>
      </c>
      <c r="D337" s="224"/>
      <c r="E337" s="224">
        <v>329712</v>
      </c>
      <c r="F337" s="224">
        <v>64034</v>
      </c>
      <c r="G337" s="224">
        <v>151190</v>
      </c>
      <c r="H337" s="224">
        <v>20400</v>
      </c>
      <c r="I337" s="224">
        <v>143000</v>
      </c>
      <c r="J337" s="224">
        <v>1000</v>
      </c>
      <c r="K337" s="224"/>
    </row>
    <row r="338" spans="1:11">
      <c r="A338" s="23" t="s">
        <v>134</v>
      </c>
      <c r="B338" s="23">
        <v>21</v>
      </c>
      <c r="C338" s="23">
        <v>27</v>
      </c>
      <c r="D338" s="224"/>
      <c r="E338" s="224">
        <v>687917</v>
      </c>
      <c r="F338" s="224">
        <v>467451</v>
      </c>
      <c r="G338" s="224">
        <v>624852</v>
      </c>
      <c r="H338" s="224">
        <v>20000</v>
      </c>
      <c r="I338" s="224">
        <v>1500</v>
      </c>
      <c r="J338" s="224"/>
      <c r="K338" s="224"/>
    </row>
    <row r="339" spans="1:11">
      <c r="A339" s="23" t="s">
        <v>134</v>
      </c>
      <c r="B339" s="23">
        <v>21</v>
      </c>
      <c r="C339" s="23">
        <v>31</v>
      </c>
      <c r="D339" s="224"/>
      <c r="E339" s="224"/>
      <c r="F339" s="224"/>
      <c r="G339" s="224"/>
      <c r="H339" s="224">
        <v>2000</v>
      </c>
      <c r="I339" s="224"/>
      <c r="J339" s="224"/>
      <c r="K339" s="224"/>
    </row>
    <row r="340" spans="1:11">
      <c r="A340" s="23" t="s">
        <v>134</v>
      </c>
      <c r="B340" s="23">
        <v>21</v>
      </c>
      <c r="C340" s="23">
        <v>33</v>
      </c>
      <c r="D340" s="224"/>
      <c r="E340" s="224"/>
      <c r="F340" s="224"/>
      <c r="G340" s="224"/>
      <c r="H340" s="224">
        <v>7350</v>
      </c>
      <c r="I340" s="224">
        <v>1250</v>
      </c>
      <c r="J340" s="224">
        <v>2500</v>
      </c>
      <c r="K340" s="224"/>
    </row>
    <row r="341" spans="1:11">
      <c r="A341" s="23" t="s">
        <v>134</v>
      </c>
      <c r="B341" s="23">
        <v>21</v>
      </c>
      <c r="C341" s="23">
        <v>34</v>
      </c>
      <c r="D341" s="224"/>
      <c r="E341" s="224">
        <v>20553</v>
      </c>
      <c r="F341" s="224"/>
      <c r="G341" s="224">
        <v>4714</v>
      </c>
      <c r="H341" s="224"/>
      <c r="I341" s="224"/>
      <c r="J341" s="224"/>
      <c r="K341" s="224"/>
    </row>
    <row r="342" spans="1:11">
      <c r="A342" s="23" t="s">
        <v>134</v>
      </c>
      <c r="B342" s="23">
        <v>24</v>
      </c>
      <c r="C342" s="23">
        <v>26</v>
      </c>
      <c r="D342" s="224"/>
      <c r="E342" s="224">
        <v>133267</v>
      </c>
      <c r="F342" s="224"/>
      <c r="G342" s="224">
        <v>55786</v>
      </c>
      <c r="H342" s="224"/>
      <c r="I342" s="224"/>
      <c r="J342" s="224"/>
      <c r="K342" s="224"/>
    </row>
    <row r="343" spans="1:11">
      <c r="A343" s="23" t="s">
        <v>134</v>
      </c>
      <c r="B343" s="23">
        <v>24</v>
      </c>
      <c r="C343" s="23">
        <v>27</v>
      </c>
      <c r="D343" s="224"/>
      <c r="E343" s="224">
        <v>161816</v>
      </c>
      <c r="F343" s="224"/>
      <c r="G343" s="224">
        <v>62248</v>
      </c>
      <c r="H343" s="224"/>
      <c r="I343" s="224"/>
      <c r="J343" s="224"/>
      <c r="K343" s="224"/>
    </row>
    <row r="344" spans="1:11">
      <c r="A344" s="23" t="s">
        <v>134</v>
      </c>
      <c r="B344" s="23">
        <v>24</v>
      </c>
      <c r="C344" s="23">
        <v>31</v>
      </c>
      <c r="D344" s="224"/>
      <c r="E344" s="224">
        <v>6711</v>
      </c>
      <c r="F344" s="224"/>
      <c r="G344" s="224">
        <v>1539</v>
      </c>
      <c r="H344" s="224"/>
      <c r="I344" s="224"/>
      <c r="J344" s="224"/>
      <c r="K344" s="224"/>
    </row>
    <row r="345" spans="1:11">
      <c r="A345" s="23" t="s">
        <v>136</v>
      </c>
      <c r="B345" s="23">
        <v>21</v>
      </c>
      <c r="C345" s="23">
        <v>21</v>
      </c>
      <c r="D345" s="224"/>
      <c r="E345" s="224">
        <v>95682</v>
      </c>
      <c r="F345" s="224">
        <v>21564</v>
      </c>
      <c r="G345" s="224">
        <v>41083</v>
      </c>
      <c r="H345" s="224">
        <v>200</v>
      </c>
      <c r="I345" s="224">
        <v>1700</v>
      </c>
      <c r="J345" s="224"/>
      <c r="K345" s="224"/>
    </row>
    <row r="346" spans="1:11">
      <c r="A346" s="23" t="s">
        <v>136</v>
      </c>
      <c r="B346" s="23">
        <v>21</v>
      </c>
      <c r="C346" s="23">
        <v>25</v>
      </c>
      <c r="D346" s="224"/>
      <c r="E346" s="224"/>
      <c r="F346" s="224"/>
      <c r="G346" s="224"/>
      <c r="H346" s="224">
        <v>2000</v>
      </c>
      <c r="I346" s="224"/>
      <c r="J346" s="224"/>
      <c r="K346" s="224"/>
    </row>
    <row r="347" spans="1:11">
      <c r="A347" s="23" t="s">
        <v>136</v>
      </c>
      <c r="B347" s="23">
        <v>21</v>
      </c>
      <c r="C347" s="23">
        <v>26</v>
      </c>
      <c r="D347" s="224"/>
      <c r="E347" s="224"/>
      <c r="F347" s="224"/>
      <c r="G347" s="224"/>
      <c r="H347" s="224">
        <v>1000</v>
      </c>
      <c r="I347" s="224">
        <v>77050</v>
      </c>
      <c r="J347" s="224"/>
      <c r="K347" s="224"/>
    </row>
    <row r="348" spans="1:11">
      <c r="A348" s="23" t="s">
        <v>136</v>
      </c>
      <c r="B348" s="23">
        <v>21</v>
      </c>
      <c r="C348" s="23">
        <v>27</v>
      </c>
      <c r="D348" s="224"/>
      <c r="E348" s="224">
        <v>360643</v>
      </c>
      <c r="F348" s="224">
        <v>471896</v>
      </c>
      <c r="G348" s="224">
        <v>422492</v>
      </c>
      <c r="H348" s="224">
        <v>3000</v>
      </c>
      <c r="I348" s="224">
        <v>112400</v>
      </c>
      <c r="J348" s="224"/>
      <c r="K348" s="224"/>
    </row>
    <row r="349" spans="1:11">
      <c r="A349" s="23" t="s">
        <v>136</v>
      </c>
      <c r="B349" s="23">
        <v>21</v>
      </c>
      <c r="C349" s="23">
        <v>29</v>
      </c>
      <c r="D349" s="224"/>
      <c r="E349" s="224"/>
      <c r="F349" s="224"/>
      <c r="G349" s="224"/>
      <c r="H349" s="224"/>
      <c r="I349" s="224">
        <v>17000</v>
      </c>
      <c r="J349" s="224"/>
      <c r="K349" s="224"/>
    </row>
    <row r="350" spans="1:11">
      <c r="A350" s="23" t="s">
        <v>136</v>
      </c>
      <c r="B350" s="23">
        <v>21</v>
      </c>
      <c r="C350" s="23">
        <v>31</v>
      </c>
      <c r="D350" s="224"/>
      <c r="E350" s="224">
        <v>2576</v>
      </c>
      <c r="F350" s="224">
        <v>2808</v>
      </c>
      <c r="G350" s="224">
        <v>790</v>
      </c>
      <c r="H350" s="224">
        <v>750</v>
      </c>
      <c r="I350" s="224">
        <v>1000</v>
      </c>
      <c r="J350" s="224"/>
      <c r="K350" s="224"/>
    </row>
    <row r="351" spans="1:11">
      <c r="A351" s="23" t="s">
        <v>136</v>
      </c>
      <c r="B351" s="23">
        <v>21</v>
      </c>
      <c r="C351" s="23">
        <v>33</v>
      </c>
      <c r="D351" s="224"/>
      <c r="E351" s="224"/>
      <c r="F351" s="224"/>
      <c r="G351" s="224"/>
      <c r="H351" s="224"/>
      <c r="I351" s="224">
        <v>7500</v>
      </c>
      <c r="J351" s="224"/>
      <c r="K351" s="224"/>
    </row>
    <row r="352" spans="1:11">
      <c r="A352" s="23" t="s">
        <v>136</v>
      </c>
      <c r="B352" s="23">
        <v>21</v>
      </c>
      <c r="C352" s="23">
        <v>34</v>
      </c>
      <c r="D352" s="224"/>
      <c r="E352" s="224">
        <v>6733</v>
      </c>
      <c r="F352" s="224"/>
      <c r="G352" s="224">
        <v>1546</v>
      </c>
      <c r="H352" s="224"/>
      <c r="I352" s="224"/>
      <c r="J352" s="224"/>
      <c r="K352" s="224"/>
    </row>
    <row r="353" spans="1:11">
      <c r="A353" s="23" t="s">
        <v>136</v>
      </c>
      <c r="B353" s="23">
        <v>24</v>
      </c>
      <c r="C353" s="23">
        <v>26</v>
      </c>
      <c r="D353" s="224"/>
      <c r="E353" s="224"/>
      <c r="F353" s="224"/>
      <c r="G353" s="224"/>
      <c r="H353" s="224">
        <v>6000</v>
      </c>
      <c r="I353" s="224">
        <v>106084</v>
      </c>
      <c r="J353" s="224"/>
      <c r="K353" s="224"/>
    </row>
    <row r="354" spans="1:11">
      <c r="A354" s="23" t="s">
        <v>136</v>
      </c>
      <c r="B354" s="23">
        <v>24</v>
      </c>
      <c r="C354" s="23">
        <v>27</v>
      </c>
      <c r="D354" s="224"/>
      <c r="E354" s="224"/>
      <c r="F354" s="224"/>
      <c r="G354" s="224"/>
      <c r="H354" s="224">
        <v>24984</v>
      </c>
      <c r="I354" s="224">
        <v>2000</v>
      </c>
      <c r="J354" s="224"/>
      <c r="K354" s="224"/>
    </row>
    <row r="355" spans="1:11">
      <c r="A355" s="23" t="s">
        <v>138</v>
      </c>
      <c r="B355" s="23">
        <v>21</v>
      </c>
      <c r="C355" s="23">
        <v>21</v>
      </c>
      <c r="D355" s="224"/>
      <c r="E355" s="224"/>
      <c r="F355" s="224">
        <v>7414</v>
      </c>
      <c r="G355" s="224">
        <v>2737</v>
      </c>
      <c r="H355" s="224">
        <v>300</v>
      </c>
      <c r="I355" s="224"/>
      <c r="J355" s="224"/>
      <c r="K355" s="224"/>
    </row>
    <row r="356" spans="1:11">
      <c r="A356" s="23" t="s">
        <v>138</v>
      </c>
      <c r="B356" s="23">
        <v>21</v>
      </c>
      <c r="C356" s="23">
        <v>26</v>
      </c>
      <c r="D356" s="224"/>
      <c r="E356" s="224"/>
      <c r="F356" s="224"/>
      <c r="G356" s="224">
        <v>6</v>
      </c>
      <c r="H356" s="224">
        <v>500</v>
      </c>
      <c r="I356" s="224">
        <v>48000</v>
      </c>
      <c r="J356" s="224"/>
      <c r="K356" s="224"/>
    </row>
    <row r="357" spans="1:11">
      <c r="A357" s="23" t="s">
        <v>138</v>
      </c>
      <c r="B357" s="23">
        <v>21</v>
      </c>
      <c r="C357" s="23">
        <v>27</v>
      </c>
      <c r="D357" s="224"/>
      <c r="E357" s="224">
        <v>196624</v>
      </c>
      <c r="F357" s="224">
        <v>139120</v>
      </c>
      <c r="G357" s="224">
        <v>154435</v>
      </c>
      <c r="H357" s="224">
        <v>1000</v>
      </c>
      <c r="I357" s="224">
        <v>164300</v>
      </c>
      <c r="J357" s="224"/>
      <c r="K357" s="224"/>
    </row>
    <row r="358" spans="1:11">
      <c r="A358" s="23" t="s">
        <v>138</v>
      </c>
      <c r="B358" s="23">
        <v>21</v>
      </c>
      <c r="C358" s="23">
        <v>29</v>
      </c>
      <c r="D358" s="224"/>
      <c r="E358" s="224"/>
      <c r="F358" s="224"/>
      <c r="G358" s="224"/>
      <c r="H358" s="224"/>
      <c r="I358" s="224">
        <v>35000</v>
      </c>
      <c r="J358" s="224"/>
      <c r="K358" s="224"/>
    </row>
    <row r="359" spans="1:11">
      <c r="A359" s="23" t="s">
        <v>138</v>
      </c>
      <c r="B359" s="23">
        <v>21</v>
      </c>
      <c r="C359" s="23">
        <v>31</v>
      </c>
      <c r="D359" s="224"/>
      <c r="E359" s="224">
        <v>1894</v>
      </c>
      <c r="F359" s="224">
        <v>3338</v>
      </c>
      <c r="G359" s="224">
        <v>2618</v>
      </c>
      <c r="H359" s="224"/>
      <c r="I359" s="224"/>
      <c r="J359" s="224">
        <v>100</v>
      </c>
      <c r="K359" s="224"/>
    </row>
    <row r="360" spans="1:11">
      <c r="A360" s="23" t="s">
        <v>138</v>
      </c>
      <c r="B360" s="23">
        <v>21</v>
      </c>
      <c r="C360" s="23">
        <v>33</v>
      </c>
      <c r="D360" s="224"/>
      <c r="E360" s="224"/>
      <c r="F360" s="224"/>
      <c r="G360" s="224"/>
      <c r="H360" s="224">
        <v>500</v>
      </c>
      <c r="I360" s="224"/>
      <c r="J360" s="224"/>
      <c r="K360" s="224"/>
    </row>
    <row r="361" spans="1:11">
      <c r="A361" s="23" t="s">
        <v>138</v>
      </c>
      <c r="B361" s="23">
        <v>24</v>
      </c>
      <c r="C361" s="23">
        <v>26</v>
      </c>
      <c r="D361" s="224"/>
      <c r="E361" s="224"/>
      <c r="F361" s="224"/>
      <c r="G361" s="224"/>
      <c r="H361" s="224"/>
      <c r="I361" s="224">
        <v>76601</v>
      </c>
      <c r="J361" s="224"/>
      <c r="K361" s="224"/>
    </row>
    <row r="362" spans="1:11">
      <c r="A362" s="23" t="s">
        <v>140</v>
      </c>
      <c r="B362" s="23">
        <v>21</v>
      </c>
      <c r="C362" s="23">
        <v>26</v>
      </c>
      <c r="D362" s="224"/>
      <c r="E362" s="224"/>
      <c r="F362" s="224"/>
      <c r="G362" s="224"/>
      <c r="H362" s="224"/>
      <c r="I362" s="224">
        <v>44460</v>
      </c>
      <c r="J362" s="224"/>
      <c r="K362" s="224"/>
    </row>
    <row r="363" spans="1:11">
      <c r="A363" s="23" t="s">
        <v>140</v>
      </c>
      <c r="B363" s="23">
        <v>21</v>
      </c>
      <c r="C363" s="23">
        <v>27</v>
      </c>
      <c r="D363" s="224"/>
      <c r="E363" s="224">
        <v>15357</v>
      </c>
      <c r="F363" s="224">
        <v>93700</v>
      </c>
      <c r="G363" s="224">
        <v>62109</v>
      </c>
      <c r="H363" s="224"/>
      <c r="I363" s="224">
        <v>31994</v>
      </c>
      <c r="J363" s="224"/>
      <c r="K363" s="224"/>
    </row>
    <row r="364" spans="1:11">
      <c r="A364" s="23" t="s">
        <v>140</v>
      </c>
      <c r="B364" s="23">
        <v>24</v>
      </c>
      <c r="C364" s="23">
        <v>26</v>
      </c>
      <c r="D364" s="224"/>
      <c r="E364" s="224"/>
      <c r="F364" s="224"/>
      <c r="G364" s="224"/>
      <c r="H364" s="224"/>
      <c r="I364" s="224">
        <v>43925</v>
      </c>
      <c r="J364" s="224"/>
      <c r="K364" s="224"/>
    </row>
    <row r="365" spans="1:11">
      <c r="A365" s="23" t="s">
        <v>142</v>
      </c>
      <c r="B365" s="23">
        <v>21</v>
      </c>
      <c r="C365" s="23">
        <v>23</v>
      </c>
      <c r="D365" s="224"/>
      <c r="E365" s="224">
        <v>12012</v>
      </c>
      <c r="F365" s="224">
        <v>8565</v>
      </c>
      <c r="G365" s="224">
        <v>9224</v>
      </c>
      <c r="H365" s="224"/>
      <c r="I365" s="224"/>
      <c r="J365" s="224"/>
      <c r="K365" s="224"/>
    </row>
    <row r="366" spans="1:11">
      <c r="A366" s="23" t="s">
        <v>142</v>
      </c>
      <c r="B366" s="23">
        <v>21</v>
      </c>
      <c r="C366" s="23">
        <v>27</v>
      </c>
      <c r="D366" s="224"/>
      <c r="E366" s="224">
        <v>54062</v>
      </c>
      <c r="F366" s="224">
        <v>113415</v>
      </c>
      <c r="G366" s="224">
        <v>84180</v>
      </c>
      <c r="H366" s="224">
        <v>2500</v>
      </c>
      <c r="I366" s="224">
        <v>600</v>
      </c>
      <c r="J366" s="224"/>
      <c r="K366" s="224"/>
    </row>
    <row r="367" spans="1:11">
      <c r="A367" s="23" t="s">
        <v>142</v>
      </c>
      <c r="B367" s="23">
        <v>21</v>
      </c>
      <c r="C367" s="23">
        <v>29</v>
      </c>
      <c r="D367" s="224"/>
      <c r="E367" s="224"/>
      <c r="F367" s="224"/>
      <c r="G367" s="224"/>
      <c r="H367" s="224"/>
      <c r="I367" s="224">
        <v>7000</v>
      </c>
      <c r="J367" s="224"/>
      <c r="K367" s="224"/>
    </row>
    <row r="368" spans="1:11">
      <c r="A368" s="23" t="s">
        <v>142</v>
      </c>
      <c r="B368" s="23">
        <v>21</v>
      </c>
      <c r="C368" s="23">
        <v>32</v>
      </c>
      <c r="D368" s="224"/>
      <c r="E368" s="224"/>
      <c r="F368" s="224"/>
      <c r="G368" s="224"/>
      <c r="H368" s="224">
        <v>500</v>
      </c>
      <c r="I368" s="224">
        <v>1400</v>
      </c>
      <c r="J368" s="224"/>
      <c r="K368" s="224"/>
    </row>
    <row r="369" spans="1:11">
      <c r="A369" s="23" t="s">
        <v>142</v>
      </c>
      <c r="B369" s="23">
        <v>21</v>
      </c>
      <c r="C369" s="23">
        <v>33</v>
      </c>
      <c r="D369" s="224"/>
      <c r="E369" s="224"/>
      <c r="F369" s="224"/>
      <c r="G369" s="224"/>
      <c r="H369" s="224">
        <v>1000</v>
      </c>
      <c r="I369" s="224"/>
      <c r="J369" s="224"/>
      <c r="K369" s="224"/>
    </row>
    <row r="370" spans="1:11">
      <c r="A370" s="23" t="s">
        <v>142</v>
      </c>
      <c r="B370" s="23">
        <v>24</v>
      </c>
      <c r="C370" s="23">
        <v>26</v>
      </c>
      <c r="D370" s="224"/>
      <c r="E370" s="224"/>
      <c r="F370" s="224"/>
      <c r="G370" s="224"/>
      <c r="H370" s="224"/>
      <c r="I370" s="224">
        <v>68600</v>
      </c>
      <c r="J370" s="224"/>
      <c r="K370" s="224"/>
    </row>
    <row r="371" spans="1:11">
      <c r="A371" s="23" t="s">
        <v>143</v>
      </c>
      <c r="B371" s="23">
        <v>21</v>
      </c>
      <c r="C371" s="23">
        <v>21</v>
      </c>
      <c r="D371" s="224"/>
      <c r="E371" s="224">
        <v>147701</v>
      </c>
      <c r="F371" s="224">
        <v>48998</v>
      </c>
      <c r="G371" s="224">
        <v>66756</v>
      </c>
      <c r="H371" s="224"/>
      <c r="I371" s="224"/>
      <c r="J371" s="224"/>
      <c r="K371" s="224"/>
    </row>
    <row r="372" spans="1:11">
      <c r="A372" s="23" t="s">
        <v>143</v>
      </c>
      <c r="B372" s="23">
        <v>21</v>
      </c>
      <c r="C372" s="23">
        <v>26</v>
      </c>
      <c r="D372" s="224"/>
      <c r="E372" s="224">
        <v>178266</v>
      </c>
      <c r="F372" s="224"/>
      <c r="G372" s="224">
        <v>61888</v>
      </c>
      <c r="H372" s="224"/>
      <c r="I372" s="224"/>
      <c r="J372" s="224"/>
      <c r="K372" s="224"/>
    </row>
    <row r="373" spans="1:11">
      <c r="A373" s="23" t="s">
        <v>143</v>
      </c>
      <c r="B373" s="23">
        <v>21</v>
      </c>
      <c r="C373" s="23">
        <v>27</v>
      </c>
      <c r="D373" s="224"/>
      <c r="E373" s="224">
        <v>648876</v>
      </c>
      <c r="F373" s="224">
        <v>517332</v>
      </c>
      <c r="G373" s="224">
        <v>499049</v>
      </c>
      <c r="H373" s="224">
        <v>10000</v>
      </c>
      <c r="I373" s="224"/>
      <c r="J373" s="224"/>
      <c r="K373" s="224"/>
    </row>
    <row r="374" spans="1:11">
      <c r="A374" s="23" t="s">
        <v>143</v>
      </c>
      <c r="B374" s="23">
        <v>21</v>
      </c>
      <c r="C374" s="23">
        <v>29</v>
      </c>
      <c r="D374" s="224"/>
      <c r="E374" s="224"/>
      <c r="F374" s="224"/>
      <c r="G374" s="224"/>
      <c r="H374" s="224"/>
      <c r="I374" s="224">
        <v>125000</v>
      </c>
      <c r="J374" s="224"/>
      <c r="K374" s="224"/>
    </row>
    <row r="375" spans="1:11">
      <c r="A375" s="23" t="s">
        <v>143</v>
      </c>
      <c r="B375" s="23">
        <v>21</v>
      </c>
      <c r="C375" s="23">
        <v>31</v>
      </c>
      <c r="D375" s="224"/>
      <c r="E375" s="224"/>
      <c r="F375" s="224"/>
      <c r="G375" s="224"/>
      <c r="H375" s="224"/>
      <c r="I375" s="224">
        <v>3000</v>
      </c>
      <c r="J375" s="224"/>
      <c r="K375" s="224"/>
    </row>
    <row r="376" spans="1:11">
      <c r="A376" s="23" t="s">
        <v>143</v>
      </c>
      <c r="B376" s="23">
        <v>23</v>
      </c>
      <c r="C376" s="23">
        <v>27</v>
      </c>
      <c r="D376" s="224"/>
      <c r="E376" s="224">
        <v>20372</v>
      </c>
      <c r="F376" s="224"/>
      <c r="G376" s="224">
        <v>8616</v>
      </c>
      <c r="H376" s="224"/>
      <c r="I376" s="224"/>
      <c r="J376" s="224"/>
      <c r="K376" s="224"/>
    </row>
    <row r="377" spans="1:11">
      <c r="A377" s="23" t="s">
        <v>143</v>
      </c>
      <c r="B377" s="23">
        <v>24</v>
      </c>
      <c r="C377" s="23">
        <v>26</v>
      </c>
      <c r="D377" s="224"/>
      <c r="E377" s="224">
        <v>142744</v>
      </c>
      <c r="F377" s="224"/>
      <c r="G377" s="224">
        <v>55409</v>
      </c>
      <c r="H377" s="224"/>
      <c r="I377" s="224"/>
      <c r="J377" s="224"/>
      <c r="K377" s="224"/>
    </row>
    <row r="378" spans="1:11">
      <c r="A378" s="23" t="s">
        <v>143</v>
      </c>
      <c r="B378" s="23">
        <v>24</v>
      </c>
      <c r="C378" s="23">
        <v>27</v>
      </c>
      <c r="D378" s="224"/>
      <c r="E378" s="224">
        <v>5432</v>
      </c>
      <c r="F378" s="224"/>
      <c r="G378" s="224">
        <v>2298</v>
      </c>
      <c r="H378" s="224"/>
      <c r="I378" s="224"/>
      <c r="J378" s="224"/>
      <c r="K378" s="224"/>
    </row>
    <row r="379" spans="1:11">
      <c r="A379" s="23" t="s">
        <v>12</v>
      </c>
      <c r="B379" s="23">
        <v>21</v>
      </c>
      <c r="C379" s="23">
        <v>23</v>
      </c>
      <c r="D379" s="224"/>
      <c r="E379" s="224">
        <v>22150</v>
      </c>
      <c r="F379" s="224"/>
      <c r="G379" s="224">
        <v>7530</v>
      </c>
      <c r="H379" s="224"/>
      <c r="I379" s="224">
        <v>300</v>
      </c>
      <c r="J379" s="224"/>
      <c r="K379" s="224"/>
    </row>
    <row r="380" spans="1:11">
      <c r="A380" s="23" t="s">
        <v>12</v>
      </c>
      <c r="B380" s="23">
        <v>21</v>
      </c>
      <c r="C380" s="23">
        <v>26</v>
      </c>
      <c r="D380" s="224"/>
      <c r="E380" s="224"/>
      <c r="F380" s="224"/>
      <c r="G380" s="224"/>
      <c r="H380" s="224"/>
      <c r="I380" s="224">
        <v>150000</v>
      </c>
      <c r="J380" s="224"/>
      <c r="K380" s="224"/>
    </row>
    <row r="381" spans="1:11">
      <c r="A381" s="23" t="s">
        <v>12</v>
      </c>
      <c r="B381" s="23">
        <v>21</v>
      </c>
      <c r="C381" s="23">
        <v>27</v>
      </c>
      <c r="D381" s="224"/>
      <c r="E381" s="224">
        <v>137878</v>
      </c>
      <c r="F381" s="224">
        <v>75731</v>
      </c>
      <c r="G381" s="224">
        <v>92553</v>
      </c>
      <c r="H381" s="224">
        <v>9000</v>
      </c>
      <c r="I381" s="224">
        <v>1000</v>
      </c>
      <c r="J381" s="224">
        <v>1500</v>
      </c>
      <c r="K381" s="224"/>
    </row>
    <row r="382" spans="1:11">
      <c r="A382" s="23" t="s">
        <v>12</v>
      </c>
      <c r="B382" s="23">
        <v>21</v>
      </c>
      <c r="C382" s="23">
        <v>31</v>
      </c>
      <c r="D382" s="224"/>
      <c r="E382" s="224"/>
      <c r="F382" s="224"/>
      <c r="G382" s="224"/>
      <c r="H382" s="224"/>
      <c r="I382" s="224">
        <v>1500</v>
      </c>
      <c r="J382" s="224"/>
      <c r="K382" s="224"/>
    </row>
    <row r="383" spans="1:11">
      <c r="A383" s="23" t="s">
        <v>12</v>
      </c>
      <c r="B383" s="23">
        <v>21</v>
      </c>
      <c r="C383" s="23">
        <v>32</v>
      </c>
      <c r="D383" s="224"/>
      <c r="E383" s="224"/>
      <c r="F383" s="224"/>
      <c r="G383" s="224"/>
      <c r="H383" s="224">
        <v>3000</v>
      </c>
      <c r="I383" s="224"/>
      <c r="J383" s="224"/>
      <c r="K383" s="224"/>
    </row>
    <row r="384" spans="1:11">
      <c r="A384" s="23" t="s">
        <v>12</v>
      </c>
      <c r="B384" s="23">
        <v>21</v>
      </c>
      <c r="C384" s="23">
        <v>33</v>
      </c>
      <c r="D384" s="224"/>
      <c r="E384" s="224"/>
      <c r="F384" s="224"/>
      <c r="G384" s="224"/>
      <c r="H384" s="224">
        <v>500</v>
      </c>
      <c r="I384" s="224"/>
      <c r="J384" s="224"/>
      <c r="K384" s="224"/>
    </row>
    <row r="385" spans="1:11">
      <c r="A385" s="23" t="s">
        <v>12</v>
      </c>
      <c r="B385" s="23">
        <v>24</v>
      </c>
      <c r="C385" s="23">
        <v>27</v>
      </c>
      <c r="D385" s="224"/>
      <c r="E385" s="224"/>
      <c r="F385" s="224">
        <v>31494</v>
      </c>
      <c r="G385" s="224">
        <v>18854</v>
      </c>
      <c r="H385" s="224"/>
      <c r="I385" s="224"/>
      <c r="J385" s="224"/>
      <c r="K385" s="224"/>
    </row>
    <row r="386" spans="1:11">
      <c r="A386" s="23" t="s">
        <v>145</v>
      </c>
      <c r="B386" s="23">
        <v>21</v>
      </c>
      <c r="C386" s="23">
        <v>26</v>
      </c>
      <c r="D386" s="224"/>
      <c r="E386" s="224"/>
      <c r="F386" s="224"/>
      <c r="G386" s="224"/>
      <c r="H386" s="224">
        <v>500</v>
      </c>
      <c r="I386" s="224">
        <v>30000</v>
      </c>
      <c r="J386" s="224"/>
      <c r="K386" s="224"/>
    </row>
    <row r="387" spans="1:11">
      <c r="A387" s="23" t="s">
        <v>145</v>
      </c>
      <c r="B387" s="23">
        <v>21</v>
      </c>
      <c r="C387" s="23">
        <v>27</v>
      </c>
      <c r="D387" s="224"/>
      <c r="E387" s="224">
        <v>83306</v>
      </c>
      <c r="F387" s="224">
        <v>25976</v>
      </c>
      <c r="G387" s="224">
        <v>46945</v>
      </c>
      <c r="H387" s="224">
        <v>2000</v>
      </c>
      <c r="I387" s="224"/>
      <c r="J387" s="224"/>
      <c r="K387" s="224"/>
    </row>
    <row r="388" spans="1:11">
      <c r="A388" s="23" t="s">
        <v>145</v>
      </c>
      <c r="B388" s="23">
        <v>24</v>
      </c>
      <c r="C388" s="23">
        <v>26</v>
      </c>
      <c r="D388" s="224"/>
      <c r="E388" s="224"/>
      <c r="F388" s="224"/>
      <c r="G388" s="224"/>
      <c r="H388" s="224"/>
      <c r="I388" s="224">
        <v>18930</v>
      </c>
      <c r="J388" s="224"/>
      <c r="K388" s="224"/>
    </row>
    <row r="389" spans="1:11">
      <c r="A389" s="23" t="s">
        <v>402</v>
      </c>
      <c r="B389" s="23">
        <v>21</v>
      </c>
      <c r="C389" s="23">
        <v>27</v>
      </c>
      <c r="D389" s="224"/>
      <c r="E389" s="224">
        <v>66404</v>
      </c>
      <c r="F389" s="224">
        <v>100470</v>
      </c>
      <c r="G389" s="224">
        <v>97233</v>
      </c>
      <c r="H389" s="224">
        <v>8000</v>
      </c>
      <c r="I389" s="224">
        <v>70000</v>
      </c>
      <c r="J389" s="224">
        <v>300</v>
      </c>
      <c r="K389" s="224"/>
    </row>
    <row r="390" spans="1:11">
      <c r="A390" s="23" t="s">
        <v>402</v>
      </c>
      <c r="B390" s="23">
        <v>21</v>
      </c>
      <c r="C390" s="23">
        <v>34</v>
      </c>
      <c r="D390" s="224"/>
      <c r="E390" s="224">
        <v>1588</v>
      </c>
      <c r="F390" s="224"/>
      <c r="G390" s="224">
        <v>373</v>
      </c>
      <c r="H390" s="224"/>
      <c r="I390" s="224"/>
      <c r="J390" s="224"/>
      <c r="K390" s="224"/>
    </row>
    <row r="391" spans="1:11">
      <c r="A391" s="23" t="s">
        <v>402</v>
      </c>
      <c r="B391" s="23">
        <v>24</v>
      </c>
      <c r="C391" s="23">
        <v>26</v>
      </c>
      <c r="D391" s="224"/>
      <c r="E391" s="224"/>
      <c r="F391" s="224"/>
      <c r="G391" s="224"/>
      <c r="H391" s="224"/>
      <c r="I391" s="224">
        <v>60000</v>
      </c>
      <c r="J391" s="224"/>
      <c r="K391" s="224"/>
    </row>
    <row r="392" spans="1:11">
      <c r="A392" s="23" t="s">
        <v>404</v>
      </c>
      <c r="B392" s="23">
        <v>21</v>
      </c>
      <c r="C392" s="23">
        <v>21</v>
      </c>
      <c r="D392" s="224"/>
      <c r="E392" s="224">
        <v>74589</v>
      </c>
      <c r="F392" s="224"/>
      <c r="G392" s="224">
        <v>25721</v>
      </c>
      <c r="H392" s="224"/>
      <c r="I392" s="224"/>
      <c r="J392" s="224"/>
      <c r="K392" s="224"/>
    </row>
    <row r="393" spans="1:11">
      <c r="A393" s="23" t="s">
        <v>404</v>
      </c>
      <c r="B393" s="23">
        <v>21</v>
      </c>
      <c r="C393" s="23">
        <v>23</v>
      </c>
      <c r="D393" s="224"/>
      <c r="E393" s="224"/>
      <c r="F393" s="224">
        <v>4335</v>
      </c>
      <c r="G393" s="224">
        <v>2479</v>
      </c>
      <c r="H393" s="224"/>
      <c r="I393" s="224"/>
      <c r="J393" s="224"/>
      <c r="K393" s="224"/>
    </row>
    <row r="394" spans="1:11">
      <c r="A394" s="23" t="s">
        <v>404</v>
      </c>
      <c r="B394" s="23">
        <v>21</v>
      </c>
      <c r="C394" s="23">
        <v>26</v>
      </c>
      <c r="D394" s="224"/>
      <c r="E394" s="224"/>
      <c r="F394" s="224"/>
      <c r="G394" s="224"/>
      <c r="H394" s="224"/>
      <c r="I394" s="224">
        <v>50000</v>
      </c>
      <c r="J394" s="224">
        <v>2000</v>
      </c>
      <c r="K394" s="224"/>
    </row>
    <row r="395" spans="1:11">
      <c r="A395" s="23" t="s">
        <v>404</v>
      </c>
      <c r="B395" s="23">
        <v>21</v>
      </c>
      <c r="C395" s="23">
        <v>27</v>
      </c>
      <c r="D395" s="224"/>
      <c r="E395" s="224">
        <v>89211</v>
      </c>
      <c r="F395" s="224">
        <v>93989</v>
      </c>
      <c r="G395" s="224">
        <v>92909</v>
      </c>
      <c r="H395" s="224">
        <v>9500</v>
      </c>
      <c r="I395" s="224"/>
      <c r="J395" s="224">
        <v>2500</v>
      </c>
      <c r="K395" s="224"/>
    </row>
    <row r="396" spans="1:11">
      <c r="A396" s="23" t="s">
        <v>404</v>
      </c>
      <c r="B396" s="23">
        <v>24</v>
      </c>
      <c r="C396" s="23">
        <v>27</v>
      </c>
      <c r="D396" s="224"/>
      <c r="E396" s="224">
        <v>43739</v>
      </c>
      <c r="F396" s="224"/>
      <c r="G396" s="224">
        <v>16184</v>
      </c>
      <c r="H396" s="224">
        <v>23000</v>
      </c>
      <c r="I396" s="224"/>
      <c r="J396" s="224"/>
      <c r="K396" s="224"/>
    </row>
    <row r="397" spans="1:11">
      <c r="A397" s="23" t="s">
        <v>404</v>
      </c>
      <c r="B397" s="23">
        <v>29</v>
      </c>
      <c r="C397" s="23">
        <v>27</v>
      </c>
      <c r="D397" s="224"/>
      <c r="E397" s="224"/>
      <c r="F397" s="224"/>
      <c r="G397" s="224"/>
      <c r="H397" s="224">
        <v>5000</v>
      </c>
      <c r="I397" s="224"/>
      <c r="J397" s="224"/>
      <c r="K397" s="224"/>
    </row>
    <row r="398" spans="1:11">
      <c r="A398" s="23" t="s">
        <v>404</v>
      </c>
      <c r="B398" s="23">
        <v>29</v>
      </c>
      <c r="C398" s="23">
        <v>32</v>
      </c>
      <c r="D398" s="224"/>
      <c r="E398" s="224"/>
      <c r="F398" s="224"/>
      <c r="G398" s="224"/>
      <c r="H398" s="224">
        <v>5000</v>
      </c>
      <c r="I398" s="224"/>
      <c r="J398" s="224"/>
      <c r="K398" s="224"/>
    </row>
    <row r="399" spans="1:11">
      <c r="A399" s="23" t="s">
        <v>406</v>
      </c>
      <c r="B399" s="23">
        <v>21</v>
      </c>
      <c r="C399" s="23">
        <v>24</v>
      </c>
      <c r="D399" s="224"/>
      <c r="E399" s="224"/>
      <c r="F399" s="224"/>
      <c r="G399" s="224"/>
      <c r="H399" s="224"/>
      <c r="I399" s="224">
        <v>5000</v>
      </c>
      <c r="J399" s="224"/>
      <c r="K399" s="224"/>
    </row>
    <row r="400" spans="1:11">
      <c r="A400" s="23" t="s">
        <v>406</v>
      </c>
      <c r="B400" s="23">
        <v>21</v>
      </c>
      <c r="C400" s="23">
        <v>26</v>
      </c>
      <c r="D400" s="224"/>
      <c r="E400" s="224"/>
      <c r="F400" s="224"/>
      <c r="G400" s="224"/>
      <c r="H400" s="224"/>
      <c r="I400" s="224">
        <v>10000</v>
      </c>
      <c r="J400" s="224"/>
      <c r="K400" s="224"/>
    </row>
    <row r="401" spans="1:11">
      <c r="A401" s="23" t="s">
        <v>406</v>
      </c>
      <c r="B401" s="23">
        <v>21</v>
      </c>
      <c r="C401" s="23">
        <v>32</v>
      </c>
      <c r="D401" s="224"/>
      <c r="E401" s="224"/>
      <c r="F401" s="224"/>
      <c r="G401" s="224"/>
      <c r="H401" s="224">
        <v>1500</v>
      </c>
      <c r="I401" s="224"/>
      <c r="J401" s="224"/>
      <c r="K401" s="224"/>
    </row>
    <row r="402" spans="1:11">
      <c r="A402" s="23" t="s">
        <v>406</v>
      </c>
      <c r="B402" s="23">
        <v>21</v>
      </c>
      <c r="C402" s="23">
        <v>33</v>
      </c>
      <c r="D402" s="224"/>
      <c r="E402" s="224"/>
      <c r="F402" s="224"/>
      <c r="G402" s="224"/>
      <c r="H402" s="224">
        <v>1500</v>
      </c>
      <c r="I402" s="224"/>
      <c r="J402" s="224"/>
      <c r="K402" s="224"/>
    </row>
    <row r="403" spans="1:11">
      <c r="A403" s="23" t="s">
        <v>224</v>
      </c>
      <c r="B403" s="23">
        <v>21</v>
      </c>
      <c r="C403" s="23">
        <v>21</v>
      </c>
      <c r="D403" s="224"/>
      <c r="E403" s="224">
        <v>67731</v>
      </c>
      <c r="F403" s="224">
        <v>21251</v>
      </c>
      <c r="G403" s="224">
        <v>31380</v>
      </c>
      <c r="H403" s="224">
        <v>1200</v>
      </c>
      <c r="I403" s="224">
        <v>550</v>
      </c>
      <c r="J403" s="224">
        <v>1150</v>
      </c>
      <c r="K403" s="224"/>
    </row>
    <row r="404" spans="1:11">
      <c r="A404" s="23" t="s">
        <v>224</v>
      </c>
      <c r="B404" s="23">
        <v>21</v>
      </c>
      <c r="C404" s="23">
        <v>26</v>
      </c>
      <c r="D404" s="224"/>
      <c r="E404" s="224"/>
      <c r="F404" s="224">
        <v>58256</v>
      </c>
      <c r="G404" s="224">
        <v>33132</v>
      </c>
      <c r="H404" s="224"/>
      <c r="I404" s="224">
        <v>79610</v>
      </c>
      <c r="J404" s="224">
        <v>500</v>
      </c>
      <c r="K404" s="224"/>
    </row>
    <row r="405" spans="1:11">
      <c r="A405" s="23" t="s">
        <v>224</v>
      </c>
      <c r="B405" s="23">
        <v>21</v>
      </c>
      <c r="C405" s="23">
        <v>27</v>
      </c>
      <c r="D405" s="224"/>
      <c r="E405" s="224">
        <v>99326</v>
      </c>
      <c r="F405" s="224">
        <v>127635</v>
      </c>
      <c r="G405" s="224">
        <v>115895</v>
      </c>
      <c r="H405" s="224">
        <v>13061</v>
      </c>
      <c r="I405" s="224">
        <v>51700</v>
      </c>
      <c r="J405" s="224"/>
      <c r="K405" s="224"/>
    </row>
    <row r="406" spans="1:11">
      <c r="A406" s="23" t="s">
        <v>224</v>
      </c>
      <c r="B406" s="23">
        <v>21</v>
      </c>
      <c r="C406" s="23">
        <v>29</v>
      </c>
      <c r="D406" s="224"/>
      <c r="E406" s="224"/>
      <c r="F406" s="224"/>
      <c r="G406" s="224"/>
      <c r="H406" s="224"/>
      <c r="I406" s="224">
        <v>57500</v>
      </c>
      <c r="J406" s="224"/>
      <c r="K406" s="224"/>
    </row>
    <row r="407" spans="1:11">
      <c r="A407" s="23" t="s">
        <v>224</v>
      </c>
      <c r="B407" s="23">
        <v>21</v>
      </c>
      <c r="C407" s="23">
        <v>31</v>
      </c>
      <c r="D407" s="224"/>
      <c r="E407" s="224">
        <v>2957</v>
      </c>
      <c r="F407" s="224"/>
      <c r="G407" s="224">
        <v>666</v>
      </c>
      <c r="H407" s="224"/>
      <c r="I407" s="224">
        <v>220</v>
      </c>
      <c r="J407" s="224">
        <v>1800</v>
      </c>
      <c r="K407" s="224"/>
    </row>
    <row r="408" spans="1:11">
      <c r="A408" s="23" t="s">
        <v>224</v>
      </c>
      <c r="B408" s="23">
        <v>23</v>
      </c>
      <c r="C408" s="23">
        <v>27</v>
      </c>
      <c r="D408" s="224"/>
      <c r="E408" s="224">
        <v>15430</v>
      </c>
      <c r="F408" s="224"/>
      <c r="G408" s="224">
        <v>6183</v>
      </c>
      <c r="H408" s="224"/>
      <c r="I408" s="224"/>
      <c r="J408" s="224"/>
      <c r="K408" s="224"/>
    </row>
    <row r="409" spans="1:11">
      <c r="A409" s="23" t="s">
        <v>224</v>
      </c>
      <c r="B409" s="23">
        <v>23</v>
      </c>
      <c r="C409" s="23">
        <v>31</v>
      </c>
      <c r="D409" s="224"/>
      <c r="E409" s="224">
        <v>487</v>
      </c>
      <c r="F409" s="224"/>
      <c r="G409" s="224">
        <v>110</v>
      </c>
      <c r="H409" s="224"/>
      <c r="I409" s="224"/>
      <c r="J409" s="224"/>
      <c r="K409" s="224"/>
    </row>
    <row r="410" spans="1:11">
      <c r="A410" s="23" t="s">
        <v>224</v>
      </c>
      <c r="B410" s="23">
        <v>24</v>
      </c>
      <c r="C410" s="23">
        <v>26</v>
      </c>
      <c r="D410" s="224"/>
      <c r="E410" s="224"/>
      <c r="F410" s="224"/>
      <c r="G410" s="224"/>
      <c r="H410" s="224"/>
      <c r="I410" s="224">
        <v>6564</v>
      </c>
      <c r="J410" s="224"/>
      <c r="K410" s="224"/>
    </row>
    <row r="411" spans="1:11">
      <c r="A411" s="23" t="s">
        <v>224</v>
      </c>
      <c r="B411" s="23">
        <v>24</v>
      </c>
      <c r="C411" s="23">
        <v>27</v>
      </c>
      <c r="D411" s="224"/>
      <c r="E411" s="224">
        <v>55220</v>
      </c>
      <c r="F411" s="224"/>
      <c r="G411" s="224">
        <v>19615</v>
      </c>
      <c r="H411" s="224">
        <v>5511</v>
      </c>
      <c r="I411" s="224"/>
      <c r="J411" s="224"/>
      <c r="K411" s="224"/>
    </row>
    <row r="412" spans="1:11">
      <c r="A412" s="23" t="s">
        <v>224</v>
      </c>
      <c r="B412" s="23">
        <v>24</v>
      </c>
      <c r="C412" s="23">
        <v>31</v>
      </c>
      <c r="D412" s="224"/>
      <c r="E412" s="224">
        <v>1681</v>
      </c>
      <c r="F412" s="224"/>
      <c r="G412" s="224">
        <v>378</v>
      </c>
      <c r="H412" s="224"/>
      <c r="I412" s="224"/>
      <c r="J412" s="224"/>
      <c r="K412" s="224"/>
    </row>
    <row r="413" spans="1:11">
      <c r="A413" s="23" t="s">
        <v>226</v>
      </c>
      <c r="B413" s="23">
        <v>21</v>
      </c>
      <c r="C413" s="23">
        <v>21</v>
      </c>
      <c r="D413" s="224"/>
      <c r="E413" s="224">
        <v>6952</v>
      </c>
      <c r="F413" s="224"/>
      <c r="G413" s="224"/>
      <c r="H413" s="224"/>
      <c r="I413" s="224"/>
      <c r="J413" s="224"/>
      <c r="K413" s="224"/>
    </row>
    <row r="414" spans="1:11">
      <c r="A414" s="23" t="s">
        <v>226</v>
      </c>
      <c r="B414" s="23">
        <v>21</v>
      </c>
      <c r="C414" s="23">
        <v>26</v>
      </c>
      <c r="D414" s="224"/>
      <c r="E414" s="224">
        <v>51778</v>
      </c>
      <c r="F414" s="224">
        <v>34129</v>
      </c>
      <c r="G414" s="224">
        <v>40839</v>
      </c>
      <c r="H414" s="224">
        <v>4000</v>
      </c>
      <c r="I414" s="224">
        <v>36500</v>
      </c>
      <c r="J414" s="224"/>
      <c r="K414" s="224"/>
    </row>
    <row r="415" spans="1:11">
      <c r="A415" s="23" t="s">
        <v>226</v>
      </c>
      <c r="B415" s="23">
        <v>21</v>
      </c>
      <c r="C415" s="23">
        <v>27</v>
      </c>
      <c r="D415" s="224"/>
      <c r="E415" s="224">
        <v>142342</v>
      </c>
      <c r="F415" s="224">
        <v>250050</v>
      </c>
      <c r="G415" s="224">
        <v>193285</v>
      </c>
      <c r="H415" s="224">
        <v>18000</v>
      </c>
      <c r="I415" s="224">
        <v>15000</v>
      </c>
      <c r="J415" s="224"/>
      <c r="K415" s="224"/>
    </row>
    <row r="416" spans="1:11">
      <c r="A416" s="23" t="s">
        <v>226</v>
      </c>
      <c r="B416" s="23">
        <v>21</v>
      </c>
      <c r="C416" s="23">
        <v>31</v>
      </c>
      <c r="D416" s="224"/>
      <c r="E416" s="224"/>
      <c r="F416" s="224"/>
      <c r="G416" s="224"/>
      <c r="H416" s="224"/>
      <c r="I416" s="224">
        <v>6000</v>
      </c>
      <c r="J416" s="224">
        <v>5000</v>
      </c>
      <c r="K416" s="224"/>
    </row>
    <row r="417" spans="1:11">
      <c r="A417" s="23" t="s">
        <v>226</v>
      </c>
      <c r="B417" s="23">
        <v>21</v>
      </c>
      <c r="C417" s="23">
        <v>32</v>
      </c>
      <c r="D417" s="224"/>
      <c r="E417" s="224"/>
      <c r="F417" s="224"/>
      <c r="G417" s="224"/>
      <c r="H417" s="224">
        <v>10000</v>
      </c>
      <c r="I417" s="224"/>
      <c r="J417" s="224"/>
      <c r="K417" s="224"/>
    </row>
    <row r="418" spans="1:11">
      <c r="A418" s="23" t="s">
        <v>226</v>
      </c>
      <c r="B418" s="23">
        <v>21</v>
      </c>
      <c r="C418" s="23">
        <v>33</v>
      </c>
      <c r="D418" s="224"/>
      <c r="E418" s="224"/>
      <c r="F418" s="224"/>
      <c r="G418" s="224"/>
      <c r="H418" s="224">
        <v>8500</v>
      </c>
      <c r="I418" s="224"/>
      <c r="J418" s="224"/>
      <c r="K418" s="224"/>
    </row>
    <row r="419" spans="1:11">
      <c r="A419" s="23" t="s">
        <v>226</v>
      </c>
      <c r="B419" s="23">
        <v>21</v>
      </c>
      <c r="C419" s="23">
        <v>34</v>
      </c>
      <c r="D419" s="224"/>
      <c r="E419" s="224">
        <v>1539</v>
      </c>
      <c r="F419" s="224"/>
      <c r="G419" s="224">
        <v>724</v>
      </c>
      <c r="H419" s="224"/>
      <c r="I419" s="224"/>
      <c r="J419" s="224"/>
      <c r="K419" s="224"/>
    </row>
    <row r="420" spans="1:11">
      <c r="A420" s="23" t="s">
        <v>226</v>
      </c>
      <c r="B420" s="23">
        <v>24</v>
      </c>
      <c r="C420" s="23">
        <v>26</v>
      </c>
      <c r="D420" s="224"/>
      <c r="E420" s="224">
        <v>70932</v>
      </c>
      <c r="F420" s="224"/>
      <c r="G420" s="224">
        <v>28510</v>
      </c>
      <c r="H420" s="224"/>
      <c r="I420" s="224">
        <v>45000</v>
      </c>
      <c r="J420" s="224"/>
      <c r="K420" s="224"/>
    </row>
    <row r="421" spans="1:11">
      <c r="A421" s="23" t="s">
        <v>228</v>
      </c>
      <c r="B421" s="23">
        <v>21</v>
      </c>
      <c r="C421" s="23">
        <v>29</v>
      </c>
      <c r="D421" s="224"/>
      <c r="E421" s="224"/>
      <c r="F421" s="224"/>
      <c r="G421" s="224"/>
      <c r="H421" s="224"/>
      <c r="I421" s="224">
        <v>614025</v>
      </c>
      <c r="J421" s="224"/>
      <c r="K421" s="224"/>
    </row>
    <row r="422" spans="1:11">
      <c r="A422" s="23" t="s">
        <v>355</v>
      </c>
      <c r="B422" s="23">
        <v>21</v>
      </c>
      <c r="C422" s="23">
        <v>21</v>
      </c>
      <c r="D422" s="224"/>
      <c r="E422" s="224">
        <v>118048</v>
      </c>
      <c r="F422" s="224">
        <v>35969</v>
      </c>
      <c r="G422" s="224">
        <v>57145</v>
      </c>
      <c r="H422" s="224">
        <v>10250</v>
      </c>
      <c r="I422" s="224">
        <v>500</v>
      </c>
      <c r="J422" s="224">
        <v>1000</v>
      </c>
      <c r="K422" s="224"/>
    </row>
    <row r="423" spans="1:11">
      <c r="A423" s="23" t="s">
        <v>355</v>
      </c>
      <c r="B423" s="23">
        <v>21</v>
      </c>
      <c r="C423" s="23">
        <v>25</v>
      </c>
      <c r="D423" s="224"/>
      <c r="E423" s="224"/>
      <c r="F423" s="224">
        <v>42184</v>
      </c>
      <c r="G423" s="224">
        <v>33389</v>
      </c>
      <c r="H423" s="224"/>
      <c r="I423" s="224"/>
      <c r="J423" s="224"/>
      <c r="K423" s="224"/>
    </row>
    <row r="424" spans="1:11">
      <c r="A424" s="23" t="s">
        <v>355</v>
      </c>
      <c r="B424" s="23">
        <v>21</v>
      </c>
      <c r="C424" s="23">
        <v>26</v>
      </c>
      <c r="D424" s="224"/>
      <c r="E424" s="224">
        <v>666905</v>
      </c>
      <c r="F424" s="224"/>
      <c r="G424" s="224">
        <v>263549</v>
      </c>
      <c r="H424" s="224">
        <v>40000</v>
      </c>
      <c r="I424" s="224">
        <v>2500</v>
      </c>
      <c r="J424" s="224">
        <v>500</v>
      </c>
      <c r="K424" s="224"/>
    </row>
    <row r="425" spans="1:11">
      <c r="A425" s="23" t="s">
        <v>355</v>
      </c>
      <c r="B425" s="23">
        <v>21</v>
      </c>
      <c r="C425" s="23">
        <v>27</v>
      </c>
      <c r="D425" s="224"/>
      <c r="E425" s="224">
        <v>1001713</v>
      </c>
      <c r="F425" s="224">
        <v>332633</v>
      </c>
      <c r="G425" s="224">
        <v>613754</v>
      </c>
      <c r="H425" s="224">
        <v>146000</v>
      </c>
      <c r="I425" s="224">
        <v>148861</v>
      </c>
      <c r="J425" s="224">
        <v>250</v>
      </c>
      <c r="K425" s="224"/>
    </row>
    <row r="426" spans="1:11">
      <c r="A426" s="23" t="s">
        <v>355</v>
      </c>
      <c r="B426" s="23">
        <v>21</v>
      </c>
      <c r="C426" s="23">
        <v>31</v>
      </c>
      <c r="D426" s="224"/>
      <c r="E426" s="224">
        <v>27726</v>
      </c>
      <c r="F426" s="224"/>
      <c r="G426" s="224">
        <v>7742</v>
      </c>
      <c r="H426" s="224"/>
      <c r="I426" s="224">
        <v>3000</v>
      </c>
      <c r="J426" s="224"/>
      <c r="K426" s="224"/>
    </row>
    <row r="427" spans="1:11">
      <c r="A427" s="23" t="s">
        <v>355</v>
      </c>
      <c r="B427" s="23">
        <v>23</v>
      </c>
      <c r="C427" s="23">
        <v>27</v>
      </c>
      <c r="D427" s="224"/>
      <c r="E427" s="224"/>
      <c r="F427" s="224"/>
      <c r="G427" s="224"/>
      <c r="H427" s="224">
        <v>80000</v>
      </c>
      <c r="I427" s="224"/>
      <c r="J427" s="224"/>
      <c r="K427" s="224"/>
    </row>
    <row r="428" spans="1:11">
      <c r="A428" s="23" t="s">
        <v>355</v>
      </c>
      <c r="B428" s="23">
        <v>24</v>
      </c>
      <c r="C428" s="23">
        <v>27</v>
      </c>
      <c r="D428" s="224"/>
      <c r="E428" s="224">
        <v>52700</v>
      </c>
      <c r="F428" s="224">
        <v>254906</v>
      </c>
      <c r="G428" s="224">
        <v>215921</v>
      </c>
      <c r="H428" s="224"/>
      <c r="I428" s="224"/>
      <c r="J428" s="224"/>
      <c r="K428" s="224"/>
    </row>
    <row r="429" spans="1:11">
      <c r="A429" s="23" t="s">
        <v>355</v>
      </c>
      <c r="B429" s="23">
        <v>24</v>
      </c>
      <c r="C429" s="23">
        <v>31</v>
      </c>
      <c r="D429" s="224"/>
      <c r="E429" s="224">
        <v>842</v>
      </c>
      <c r="F429" s="224"/>
      <c r="G429" s="224">
        <v>189</v>
      </c>
      <c r="H429" s="224"/>
      <c r="I429" s="224"/>
      <c r="J429" s="224"/>
      <c r="K429" s="224"/>
    </row>
    <row r="430" spans="1:11">
      <c r="A430" s="23" t="s">
        <v>357</v>
      </c>
      <c r="B430" s="23">
        <v>21</v>
      </c>
      <c r="C430" s="23">
        <v>21</v>
      </c>
      <c r="D430" s="224"/>
      <c r="E430" s="224">
        <v>141247</v>
      </c>
      <c r="F430" s="224">
        <v>9333</v>
      </c>
      <c r="G430" s="224">
        <v>44088</v>
      </c>
      <c r="H430" s="224"/>
      <c r="I430" s="224">
        <v>2950</v>
      </c>
      <c r="J430" s="224"/>
      <c r="K430" s="224"/>
    </row>
    <row r="431" spans="1:11">
      <c r="A431" s="23" t="s">
        <v>357</v>
      </c>
      <c r="B431" s="23">
        <v>21</v>
      </c>
      <c r="C431" s="23">
        <v>25</v>
      </c>
      <c r="D431" s="224"/>
      <c r="E431" s="224"/>
      <c r="F431" s="224">
        <v>3272</v>
      </c>
      <c r="G431" s="224">
        <v>2428</v>
      </c>
      <c r="H431" s="224"/>
      <c r="I431" s="224">
        <v>1250</v>
      </c>
      <c r="J431" s="224"/>
      <c r="K431" s="224"/>
    </row>
    <row r="432" spans="1:11">
      <c r="A432" s="23" t="s">
        <v>357</v>
      </c>
      <c r="B432" s="23">
        <v>21</v>
      </c>
      <c r="C432" s="23">
        <v>26</v>
      </c>
      <c r="D432" s="224"/>
      <c r="E432" s="224">
        <v>514314</v>
      </c>
      <c r="F432" s="224">
        <v>34985</v>
      </c>
      <c r="G432" s="224">
        <v>194632</v>
      </c>
      <c r="H432" s="224">
        <v>6000</v>
      </c>
      <c r="I432" s="224">
        <v>241700</v>
      </c>
      <c r="J432" s="224">
        <v>1000</v>
      </c>
      <c r="K432" s="224"/>
    </row>
    <row r="433" spans="1:11">
      <c r="A433" s="23" t="s">
        <v>357</v>
      </c>
      <c r="B433" s="23">
        <v>21</v>
      </c>
      <c r="C433" s="23">
        <v>27</v>
      </c>
      <c r="D433" s="224"/>
      <c r="E433" s="224">
        <v>808263</v>
      </c>
      <c r="F433" s="224">
        <v>868680</v>
      </c>
      <c r="G433" s="224">
        <v>810275</v>
      </c>
      <c r="H433" s="224">
        <v>7750</v>
      </c>
      <c r="I433" s="224">
        <v>226260</v>
      </c>
      <c r="J433" s="224"/>
      <c r="K433" s="224"/>
    </row>
    <row r="434" spans="1:11">
      <c r="A434" s="23" t="s">
        <v>357</v>
      </c>
      <c r="B434" s="23">
        <v>21</v>
      </c>
      <c r="C434" s="23">
        <v>31</v>
      </c>
      <c r="D434" s="224"/>
      <c r="E434" s="224"/>
      <c r="F434" s="224"/>
      <c r="G434" s="224"/>
      <c r="H434" s="224">
        <v>1000</v>
      </c>
      <c r="I434" s="224"/>
      <c r="J434" s="224"/>
      <c r="K434" s="224"/>
    </row>
    <row r="435" spans="1:11">
      <c r="A435" s="23" t="s">
        <v>357</v>
      </c>
      <c r="B435" s="23">
        <v>21</v>
      </c>
      <c r="C435" s="23">
        <v>33</v>
      </c>
      <c r="D435" s="224"/>
      <c r="E435" s="224"/>
      <c r="F435" s="224"/>
      <c r="G435" s="224"/>
      <c r="H435" s="224">
        <v>30000</v>
      </c>
      <c r="I435" s="224">
        <v>600</v>
      </c>
      <c r="J435" s="224"/>
      <c r="K435" s="224"/>
    </row>
    <row r="436" spans="1:11">
      <c r="A436" s="23" t="s">
        <v>357</v>
      </c>
      <c r="B436" s="23">
        <v>21</v>
      </c>
      <c r="C436" s="23">
        <v>34</v>
      </c>
      <c r="D436" s="224"/>
      <c r="E436" s="224">
        <v>18231</v>
      </c>
      <c r="F436" s="224"/>
      <c r="G436" s="224">
        <v>6806</v>
      </c>
      <c r="H436" s="224"/>
      <c r="I436" s="224"/>
      <c r="J436" s="224"/>
      <c r="K436" s="224"/>
    </row>
    <row r="437" spans="1:11">
      <c r="A437" s="23" t="s">
        <v>357</v>
      </c>
      <c r="B437" s="23">
        <v>24</v>
      </c>
      <c r="C437" s="23">
        <v>26</v>
      </c>
      <c r="D437" s="224"/>
      <c r="E437" s="224"/>
      <c r="F437" s="224"/>
      <c r="G437" s="224"/>
      <c r="H437" s="224"/>
      <c r="I437" s="224">
        <v>100000</v>
      </c>
      <c r="J437" s="224"/>
      <c r="K437" s="224"/>
    </row>
    <row r="438" spans="1:11">
      <c r="A438" s="23" t="s">
        <v>357</v>
      </c>
      <c r="B438" s="23">
        <v>24</v>
      </c>
      <c r="C438" s="23">
        <v>27</v>
      </c>
      <c r="D438" s="224"/>
      <c r="E438" s="224"/>
      <c r="F438" s="224"/>
      <c r="G438" s="224"/>
      <c r="H438" s="224">
        <v>65338</v>
      </c>
      <c r="I438" s="224"/>
      <c r="J438" s="224"/>
      <c r="K438" s="224"/>
    </row>
    <row r="439" spans="1:11">
      <c r="A439" s="23" t="s">
        <v>357</v>
      </c>
      <c r="B439" s="23">
        <v>24</v>
      </c>
      <c r="C439" s="23">
        <v>29</v>
      </c>
      <c r="D439" s="224"/>
      <c r="E439" s="224"/>
      <c r="F439" s="224"/>
      <c r="G439" s="224"/>
      <c r="H439" s="224"/>
      <c r="I439" s="224">
        <v>95600</v>
      </c>
      <c r="J439" s="224"/>
      <c r="K439" s="224"/>
    </row>
    <row r="440" spans="1:11">
      <c r="A440" s="23" t="s">
        <v>359</v>
      </c>
      <c r="B440" s="23">
        <v>21</v>
      </c>
      <c r="C440" s="23">
        <v>29</v>
      </c>
      <c r="D440" s="224"/>
      <c r="E440" s="224"/>
      <c r="F440" s="224"/>
      <c r="G440" s="224"/>
      <c r="H440" s="224"/>
      <c r="I440" s="224">
        <v>20631</v>
      </c>
      <c r="J440" s="224"/>
      <c r="K440" s="224"/>
    </row>
    <row r="441" spans="1:11">
      <c r="A441" s="23" t="s">
        <v>230</v>
      </c>
      <c r="B441" s="23">
        <v>21</v>
      </c>
      <c r="C441" s="23">
        <v>21</v>
      </c>
      <c r="D441" s="224"/>
      <c r="E441" s="224">
        <v>151703</v>
      </c>
      <c r="F441" s="224">
        <v>49338</v>
      </c>
      <c r="G441" s="224">
        <v>57348</v>
      </c>
      <c r="H441" s="224">
        <v>2600</v>
      </c>
      <c r="I441" s="224">
        <v>3700</v>
      </c>
      <c r="J441" s="224">
        <v>1000</v>
      </c>
      <c r="K441" s="224"/>
    </row>
    <row r="442" spans="1:11">
      <c r="A442" s="23" t="s">
        <v>230</v>
      </c>
      <c r="B442" s="23">
        <v>21</v>
      </c>
      <c r="C442" s="23">
        <v>25</v>
      </c>
      <c r="D442" s="224"/>
      <c r="E442" s="224"/>
      <c r="F442" s="224">
        <v>136816</v>
      </c>
      <c r="G442" s="224">
        <v>128988</v>
      </c>
      <c r="H442" s="224">
        <v>1000</v>
      </c>
      <c r="I442" s="224"/>
      <c r="J442" s="224"/>
      <c r="K442" s="224"/>
    </row>
    <row r="443" spans="1:11">
      <c r="A443" s="23" t="s">
        <v>230</v>
      </c>
      <c r="B443" s="23">
        <v>21</v>
      </c>
      <c r="C443" s="23">
        <v>26</v>
      </c>
      <c r="D443" s="224"/>
      <c r="E443" s="224">
        <v>1714000</v>
      </c>
      <c r="F443" s="224">
        <v>64397</v>
      </c>
      <c r="G443" s="224">
        <v>643410</v>
      </c>
      <c r="H443" s="224">
        <v>31123</v>
      </c>
      <c r="I443" s="224">
        <v>104000</v>
      </c>
      <c r="J443" s="224">
        <v>5000</v>
      </c>
      <c r="K443" s="224"/>
    </row>
    <row r="444" spans="1:11">
      <c r="A444" s="23" t="s">
        <v>230</v>
      </c>
      <c r="B444" s="23">
        <v>21</v>
      </c>
      <c r="C444" s="23">
        <v>27</v>
      </c>
      <c r="D444" s="224">
        <v>2000</v>
      </c>
      <c r="E444" s="224">
        <v>2737174</v>
      </c>
      <c r="F444" s="224">
        <v>830704</v>
      </c>
      <c r="G444" s="224">
        <v>1619402</v>
      </c>
      <c r="H444" s="224">
        <v>17000</v>
      </c>
      <c r="I444" s="224">
        <v>10000</v>
      </c>
      <c r="J444" s="224">
        <v>2500</v>
      </c>
      <c r="K444" s="224"/>
    </row>
    <row r="445" spans="1:11">
      <c r="A445" s="23" t="s">
        <v>230</v>
      </c>
      <c r="B445" s="23">
        <v>21</v>
      </c>
      <c r="C445" s="23">
        <v>31</v>
      </c>
      <c r="D445" s="224"/>
      <c r="E445" s="224">
        <v>102066</v>
      </c>
      <c r="F445" s="224"/>
      <c r="G445" s="224">
        <v>35872</v>
      </c>
      <c r="H445" s="224"/>
      <c r="I445" s="224">
        <v>5200</v>
      </c>
      <c r="J445" s="224">
        <v>1850</v>
      </c>
      <c r="K445" s="224"/>
    </row>
    <row r="446" spans="1:11">
      <c r="A446" s="23" t="s">
        <v>230</v>
      </c>
      <c r="B446" s="23">
        <v>21</v>
      </c>
      <c r="C446" s="23">
        <v>32</v>
      </c>
      <c r="D446" s="224"/>
      <c r="E446" s="224"/>
      <c r="F446" s="224"/>
      <c r="G446" s="224"/>
      <c r="H446" s="224">
        <v>5000</v>
      </c>
      <c r="I446" s="224"/>
      <c r="J446" s="224"/>
      <c r="K446" s="224"/>
    </row>
    <row r="447" spans="1:11">
      <c r="A447" s="23" t="s">
        <v>230</v>
      </c>
      <c r="B447" s="23">
        <v>21</v>
      </c>
      <c r="C447" s="23">
        <v>33</v>
      </c>
      <c r="D447" s="224"/>
      <c r="E447" s="224"/>
      <c r="F447" s="224"/>
      <c r="G447" s="224"/>
      <c r="H447" s="224">
        <v>5000</v>
      </c>
      <c r="I447" s="224"/>
      <c r="J447" s="224"/>
      <c r="K447" s="224"/>
    </row>
    <row r="448" spans="1:11">
      <c r="A448" s="23" t="s">
        <v>230</v>
      </c>
      <c r="B448" s="23">
        <v>21</v>
      </c>
      <c r="C448" s="23">
        <v>34</v>
      </c>
      <c r="D448" s="224"/>
      <c r="E448" s="224">
        <v>65780</v>
      </c>
      <c r="F448" s="224"/>
      <c r="G448" s="224">
        <v>24194</v>
      </c>
      <c r="H448" s="224"/>
      <c r="I448" s="224"/>
      <c r="J448" s="224"/>
      <c r="K448" s="224"/>
    </row>
    <row r="449" spans="1:11">
      <c r="A449" s="23" t="s">
        <v>230</v>
      </c>
      <c r="B449" s="23">
        <v>23</v>
      </c>
      <c r="C449" s="23">
        <v>27</v>
      </c>
      <c r="D449" s="224"/>
      <c r="E449" s="224"/>
      <c r="F449" s="224">
        <v>22539</v>
      </c>
      <c r="G449" s="224">
        <v>17539</v>
      </c>
      <c r="H449" s="224"/>
      <c r="I449" s="224"/>
      <c r="J449" s="224"/>
      <c r="K449" s="224"/>
    </row>
    <row r="450" spans="1:11">
      <c r="A450" s="23" t="s">
        <v>230</v>
      </c>
      <c r="B450" s="23">
        <v>24</v>
      </c>
      <c r="C450" s="23">
        <v>27</v>
      </c>
      <c r="D450" s="224"/>
      <c r="E450" s="224"/>
      <c r="F450" s="224">
        <v>588494</v>
      </c>
      <c r="G450" s="224">
        <v>413340</v>
      </c>
      <c r="H450" s="224"/>
      <c r="I450" s="224"/>
      <c r="J450" s="224"/>
      <c r="K450" s="224"/>
    </row>
    <row r="451" spans="1:11">
      <c r="A451" s="23" t="s">
        <v>231</v>
      </c>
      <c r="B451" s="23">
        <v>21</v>
      </c>
      <c r="C451" s="23">
        <v>21</v>
      </c>
      <c r="D451" s="224"/>
      <c r="E451" s="224">
        <v>138973</v>
      </c>
      <c r="F451" s="224">
        <v>63107</v>
      </c>
      <c r="G451" s="224">
        <v>65027</v>
      </c>
      <c r="H451" s="224"/>
      <c r="I451" s="224">
        <v>1000</v>
      </c>
      <c r="J451" s="224"/>
      <c r="K451" s="224"/>
    </row>
    <row r="452" spans="1:11">
      <c r="A452" s="23" t="s">
        <v>231</v>
      </c>
      <c r="B452" s="23">
        <v>21</v>
      </c>
      <c r="C452" s="23">
        <v>26</v>
      </c>
      <c r="D452" s="224"/>
      <c r="E452" s="224">
        <v>716116</v>
      </c>
      <c r="F452" s="224">
        <v>147720</v>
      </c>
      <c r="G452" s="224">
        <v>382813</v>
      </c>
      <c r="H452" s="224">
        <v>20000</v>
      </c>
      <c r="I452" s="224">
        <v>659300</v>
      </c>
      <c r="J452" s="224"/>
      <c r="K452" s="224"/>
    </row>
    <row r="453" spans="1:11">
      <c r="A453" s="23" t="s">
        <v>231</v>
      </c>
      <c r="B453" s="23">
        <v>21</v>
      </c>
      <c r="C453" s="23">
        <v>27</v>
      </c>
      <c r="D453" s="224">
        <v>1500</v>
      </c>
      <c r="E453" s="224">
        <v>1468316</v>
      </c>
      <c r="F453" s="224">
        <v>319344</v>
      </c>
      <c r="G453" s="224">
        <v>798171</v>
      </c>
      <c r="H453" s="224">
        <v>15000</v>
      </c>
      <c r="I453" s="224">
        <v>153600</v>
      </c>
      <c r="J453" s="224"/>
      <c r="K453" s="224"/>
    </row>
    <row r="454" spans="1:11">
      <c r="A454" s="23" t="s">
        <v>231</v>
      </c>
      <c r="B454" s="23">
        <v>21</v>
      </c>
      <c r="C454" s="23">
        <v>31</v>
      </c>
      <c r="D454" s="224"/>
      <c r="E454" s="224">
        <v>53701</v>
      </c>
      <c r="F454" s="224"/>
      <c r="G454" s="224">
        <v>12414</v>
      </c>
      <c r="H454" s="224"/>
      <c r="I454" s="224"/>
      <c r="J454" s="224"/>
      <c r="K454" s="224"/>
    </row>
    <row r="455" spans="1:11">
      <c r="A455" s="23" t="s">
        <v>231</v>
      </c>
      <c r="B455" s="23">
        <v>24</v>
      </c>
      <c r="C455" s="23">
        <v>21</v>
      </c>
      <c r="D455" s="224"/>
      <c r="E455" s="224">
        <v>22623</v>
      </c>
      <c r="F455" s="224"/>
      <c r="G455" s="224">
        <v>6472</v>
      </c>
      <c r="H455" s="224"/>
      <c r="I455" s="224"/>
      <c r="J455" s="224"/>
      <c r="K455" s="224"/>
    </row>
    <row r="456" spans="1:11">
      <c r="A456" s="23" t="s">
        <v>231</v>
      </c>
      <c r="B456" s="23">
        <v>24</v>
      </c>
      <c r="C456" s="23">
        <v>26</v>
      </c>
      <c r="D456" s="224"/>
      <c r="E456" s="224">
        <v>8754</v>
      </c>
      <c r="F456" s="224"/>
      <c r="G456" s="224">
        <v>3266</v>
      </c>
      <c r="H456" s="224"/>
      <c r="I456" s="224"/>
      <c r="J456" s="224"/>
      <c r="K456" s="224"/>
    </row>
    <row r="457" spans="1:11">
      <c r="A457" s="23" t="s">
        <v>231</v>
      </c>
      <c r="B457" s="23">
        <v>24</v>
      </c>
      <c r="C457" s="23">
        <v>27</v>
      </c>
      <c r="D457" s="224"/>
      <c r="E457" s="224">
        <v>2513</v>
      </c>
      <c r="F457" s="224">
        <v>347381</v>
      </c>
      <c r="G457" s="224">
        <v>232377</v>
      </c>
      <c r="H457" s="224">
        <v>2655</v>
      </c>
      <c r="I457" s="224"/>
      <c r="J457" s="224"/>
      <c r="K457" s="224"/>
    </row>
    <row r="458" spans="1:11">
      <c r="A458" s="23" t="s">
        <v>231</v>
      </c>
      <c r="B458" s="23">
        <v>24</v>
      </c>
      <c r="C458" s="23">
        <v>31</v>
      </c>
      <c r="D458" s="224"/>
      <c r="E458" s="224">
        <v>198</v>
      </c>
      <c r="F458" s="224"/>
      <c r="G458" s="224">
        <v>46</v>
      </c>
      <c r="H458" s="224"/>
      <c r="I458" s="224"/>
      <c r="J458" s="224"/>
      <c r="K458" s="224"/>
    </row>
    <row r="459" spans="1:11">
      <c r="A459" s="23" t="s">
        <v>232</v>
      </c>
      <c r="B459" s="23">
        <v>21</v>
      </c>
      <c r="C459" s="23">
        <v>21</v>
      </c>
      <c r="D459" s="224"/>
      <c r="E459" s="224">
        <v>293959</v>
      </c>
      <c r="F459" s="224">
        <v>68812</v>
      </c>
      <c r="G459" s="224">
        <v>119898</v>
      </c>
      <c r="H459" s="224">
        <v>3800</v>
      </c>
      <c r="I459" s="224">
        <v>300</v>
      </c>
      <c r="J459" s="224">
        <v>5000</v>
      </c>
      <c r="K459" s="224"/>
    </row>
    <row r="460" spans="1:11">
      <c r="A460" s="23" t="s">
        <v>232</v>
      </c>
      <c r="B460" s="23">
        <v>21</v>
      </c>
      <c r="C460" s="23">
        <v>25</v>
      </c>
      <c r="D460" s="224"/>
      <c r="E460" s="224"/>
      <c r="F460" s="224"/>
      <c r="G460" s="224"/>
      <c r="H460" s="224">
        <v>1500</v>
      </c>
      <c r="I460" s="224"/>
      <c r="J460" s="224"/>
      <c r="K460" s="224"/>
    </row>
    <row r="461" spans="1:11">
      <c r="A461" s="23" t="s">
        <v>232</v>
      </c>
      <c r="B461" s="23">
        <v>21</v>
      </c>
      <c r="C461" s="23">
        <v>26</v>
      </c>
      <c r="D461" s="224"/>
      <c r="E461" s="224">
        <v>1718517</v>
      </c>
      <c r="F461" s="224">
        <v>223081</v>
      </c>
      <c r="G461" s="224">
        <v>778413</v>
      </c>
      <c r="H461" s="224">
        <v>32450</v>
      </c>
      <c r="I461" s="224">
        <v>23300</v>
      </c>
      <c r="J461" s="224">
        <v>2300</v>
      </c>
      <c r="K461" s="224"/>
    </row>
    <row r="462" spans="1:11">
      <c r="A462" s="23" t="s">
        <v>232</v>
      </c>
      <c r="B462" s="23">
        <v>21</v>
      </c>
      <c r="C462" s="23">
        <v>27</v>
      </c>
      <c r="D462" s="224"/>
      <c r="E462" s="224">
        <v>2766421</v>
      </c>
      <c r="F462" s="224">
        <v>1545510</v>
      </c>
      <c r="G462" s="224">
        <v>1999402</v>
      </c>
      <c r="H462" s="224">
        <v>105010</v>
      </c>
      <c r="I462" s="224">
        <v>22000</v>
      </c>
      <c r="J462" s="224">
        <v>250</v>
      </c>
      <c r="K462" s="224"/>
    </row>
    <row r="463" spans="1:11">
      <c r="A463" s="23" t="s">
        <v>232</v>
      </c>
      <c r="B463" s="23">
        <v>21</v>
      </c>
      <c r="C463" s="23">
        <v>31</v>
      </c>
      <c r="D463" s="224"/>
      <c r="E463" s="224"/>
      <c r="F463" s="224"/>
      <c r="G463" s="224"/>
      <c r="H463" s="224">
        <v>900</v>
      </c>
      <c r="I463" s="224">
        <v>13000</v>
      </c>
      <c r="J463" s="224">
        <v>2000</v>
      </c>
      <c r="K463" s="224"/>
    </row>
    <row r="464" spans="1:11">
      <c r="A464" s="23" t="s">
        <v>232</v>
      </c>
      <c r="B464" s="23">
        <v>21</v>
      </c>
      <c r="C464" s="23">
        <v>32</v>
      </c>
      <c r="D464" s="224"/>
      <c r="E464" s="224"/>
      <c r="F464" s="224"/>
      <c r="G464" s="224"/>
      <c r="H464" s="224">
        <v>1000</v>
      </c>
      <c r="I464" s="224">
        <v>2400</v>
      </c>
      <c r="J464" s="224"/>
      <c r="K464" s="224"/>
    </row>
    <row r="465" spans="1:11">
      <c r="A465" s="23" t="s">
        <v>232</v>
      </c>
      <c r="B465" s="23">
        <v>21</v>
      </c>
      <c r="C465" s="23">
        <v>33</v>
      </c>
      <c r="D465" s="224"/>
      <c r="E465" s="224"/>
      <c r="F465" s="224"/>
      <c r="G465" s="224"/>
      <c r="H465" s="224">
        <v>5000</v>
      </c>
      <c r="I465" s="224"/>
      <c r="J465" s="224"/>
      <c r="K465" s="224"/>
    </row>
    <row r="466" spans="1:11">
      <c r="A466" s="23" t="s">
        <v>232</v>
      </c>
      <c r="B466" s="23">
        <v>21</v>
      </c>
      <c r="C466" s="23">
        <v>34</v>
      </c>
      <c r="D466" s="224"/>
      <c r="E466" s="224">
        <v>72470</v>
      </c>
      <c r="F466" s="224"/>
      <c r="G466" s="224">
        <v>16992</v>
      </c>
      <c r="H466" s="224"/>
      <c r="I466" s="224"/>
      <c r="J466" s="224"/>
      <c r="K466" s="224"/>
    </row>
    <row r="467" spans="1:11">
      <c r="A467" s="23" t="s">
        <v>232</v>
      </c>
      <c r="B467" s="23">
        <v>23</v>
      </c>
      <c r="C467" s="23">
        <v>27</v>
      </c>
      <c r="D467" s="224"/>
      <c r="E467" s="224"/>
      <c r="F467" s="224">
        <v>80785</v>
      </c>
      <c r="G467" s="224">
        <v>41077</v>
      </c>
      <c r="H467" s="224"/>
      <c r="I467" s="224"/>
      <c r="J467" s="224"/>
      <c r="K467" s="224"/>
    </row>
    <row r="468" spans="1:11">
      <c r="A468" s="23" t="s">
        <v>232</v>
      </c>
      <c r="B468" s="23">
        <v>23</v>
      </c>
      <c r="C468" s="23">
        <v>31</v>
      </c>
      <c r="D468" s="224"/>
      <c r="E468" s="224"/>
      <c r="F468" s="224"/>
      <c r="G468" s="224"/>
      <c r="H468" s="224"/>
      <c r="I468" s="224">
        <v>66071</v>
      </c>
      <c r="J468" s="224"/>
      <c r="K468" s="224"/>
    </row>
    <row r="469" spans="1:11">
      <c r="A469" s="23" t="s">
        <v>232</v>
      </c>
      <c r="B469" s="23">
        <v>24</v>
      </c>
      <c r="C469" s="23">
        <v>27</v>
      </c>
      <c r="D469" s="224"/>
      <c r="E469" s="224"/>
      <c r="F469" s="224">
        <v>705353</v>
      </c>
      <c r="G469" s="224">
        <v>414168</v>
      </c>
      <c r="H469" s="224"/>
      <c r="I469" s="224"/>
      <c r="J469" s="224"/>
      <c r="K469" s="224"/>
    </row>
    <row r="470" spans="1:11">
      <c r="A470" s="23" t="s">
        <v>234</v>
      </c>
      <c r="B470" s="23">
        <v>21</v>
      </c>
      <c r="C470" s="23">
        <v>26</v>
      </c>
      <c r="D470" s="224"/>
      <c r="E470" s="224"/>
      <c r="F470" s="224"/>
      <c r="G470" s="224"/>
      <c r="H470" s="224"/>
      <c r="I470" s="224">
        <v>9132</v>
      </c>
      <c r="J470" s="224"/>
      <c r="K470" s="224"/>
    </row>
    <row r="471" spans="1:11">
      <c r="A471" s="23" t="s">
        <v>234</v>
      </c>
      <c r="B471" s="23">
        <v>21</v>
      </c>
      <c r="C471" s="23">
        <v>27</v>
      </c>
      <c r="D471" s="224"/>
      <c r="E471" s="224">
        <v>45995</v>
      </c>
      <c r="F471" s="224"/>
      <c r="G471" s="224">
        <v>16680</v>
      </c>
      <c r="H471" s="224">
        <v>2000</v>
      </c>
      <c r="I471" s="224">
        <v>88090</v>
      </c>
      <c r="J471" s="224"/>
      <c r="K471" s="224"/>
    </row>
    <row r="472" spans="1:11">
      <c r="A472" s="23" t="s">
        <v>234</v>
      </c>
      <c r="B472" s="23">
        <v>24</v>
      </c>
      <c r="C472" s="23">
        <v>27</v>
      </c>
      <c r="D472" s="224"/>
      <c r="E472" s="224">
        <v>45995</v>
      </c>
      <c r="F472" s="224"/>
      <c r="G472" s="224">
        <v>16680</v>
      </c>
      <c r="H472" s="224"/>
      <c r="I472" s="224"/>
      <c r="J472" s="224"/>
      <c r="K472" s="224"/>
    </row>
    <row r="473" spans="1:11">
      <c r="A473" s="23" t="s">
        <v>236</v>
      </c>
      <c r="B473" s="23">
        <v>21</v>
      </c>
      <c r="C473" s="23">
        <v>21</v>
      </c>
      <c r="D473" s="224"/>
      <c r="E473" s="224">
        <v>93089</v>
      </c>
      <c r="F473" s="224">
        <v>58586</v>
      </c>
      <c r="G473" s="224">
        <v>51800</v>
      </c>
      <c r="H473" s="224">
        <v>1200</v>
      </c>
      <c r="I473" s="224">
        <v>1500</v>
      </c>
      <c r="J473" s="224">
        <v>500</v>
      </c>
      <c r="K473" s="224"/>
    </row>
    <row r="474" spans="1:11">
      <c r="A474" s="23" t="s">
        <v>236</v>
      </c>
      <c r="B474" s="23">
        <v>21</v>
      </c>
      <c r="C474" s="23">
        <v>24</v>
      </c>
      <c r="D474" s="224"/>
      <c r="E474" s="224">
        <v>76701</v>
      </c>
      <c r="F474" s="224"/>
      <c r="G474" s="224">
        <v>26544</v>
      </c>
      <c r="H474" s="224"/>
      <c r="I474" s="224">
        <v>500</v>
      </c>
      <c r="J474" s="224"/>
      <c r="K474" s="224"/>
    </row>
    <row r="475" spans="1:11">
      <c r="A475" s="23" t="s">
        <v>236</v>
      </c>
      <c r="B475" s="23">
        <v>21</v>
      </c>
      <c r="C475" s="23">
        <v>26</v>
      </c>
      <c r="D475" s="224"/>
      <c r="E475" s="224">
        <v>290906</v>
      </c>
      <c r="F475" s="224">
        <v>44498</v>
      </c>
      <c r="G475" s="224">
        <v>139511</v>
      </c>
      <c r="H475" s="224">
        <v>600</v>
      </c>
      <c r="I475" s="224">
        <v>252600</v>
      </c>
      <c r="J475" s="224">
        <v>1600</v>
      </c>
      <c r="K475" s="224"/>
    </row>
    <row r="476" spans="1:11">
      <c r="A476" s="23" t="s">
        <v>236</v>
      </c>
      <c r="B476" s="23">
        <v>21</v>
      </c>
      <c r="C476" s="23">
        <v>27</v>
      </c>
      <c r="D476" s="224">
        <v>600</v>
      </c>
      <c r="E476" s="224">
        <v>936700</v>
      </c>
      <c r="F476" s="224">
        <v>541312</v>
      </c>
      <c r="G476" s="224">
        <v>705057</v>
      </c>
      <c r="H476" s="224">
        <v>14500</v>
      </c>
      <c r="I476" s="224">
        <v>31400</v>
      </c>
      <c r="J476" s="224"/>
      <c r="K476" s="224"/>
    </row>
    <row r="477" spans="1:11">
      <c r="A477" s="23" t="s">
        <v>236</v>
      </c>
      <c r="B477" s="23">
        <v>21</v>
      </c>
      <c r="C477" s="23">
        <v>31</v>
      </c>
      <c r="D477" s="224"/>
      <c r="E477" s="224"/>
      <c r="F477" s="224"/>
      <c r="G477" s="224"/>
      <c r="H477" s="224"/>
      <c r="I477" s="224">
        <v>1100</v>
      </c>
      <c r="J477" s="224"/>
      <c r="K477" s="224"/>
    </row>
    <row r="478" spans="1:11">
      <c r="A478" s="23" t="s">
        <v>236</v>
      </c>
      <c r="B478" s="23">
        <v>21</v>
      </c>
      <c r="C478" s="23">
        <v>33</v>
      </c>
      <c r="D478" s="224"/>
      <c r="E478" s="224"/>
      <c r="F478" s="224"/>
      <c r="G478" s="224"/>
      <c r="H478" s="224">
        <v>4200</v>
      </c>
      <c r="I478" s="224">
        <v>12200</v>
      </c>
      <c r="J478" s="224"/>
      <c r="K478" s="224"/>
    </row>
    <row r="479" spans="1:11">
      <c r="A479" s="23" t="s">
        <v>236</v>
      </c>
      <c r="B479" s="23">
        <v>21</v>
      </c>
      <c r="C479" s="23">
        <v>34</v>
      </c>
      <c r="D479" s="224"/>
      <c r="E479" s="224">
        <v>5990</v>
      </c>
      <c r="F479" s="224"/>
      <c r="G479" s="224">
        <v>1374</v>
      </c>
      <c r="H479" s="224"/>
      <c r="I479" s="224"/>
      <c r="J479" s="224"/>
      <c r="K479" s="224"/>
    </row>
    <row r="480" spans="1:11">
      <c r="A480" s="23" t="s">
        <v>236</v>
      </c>
      <c r="B480" s="23">
        <v>24</v>
      </c>
      <c r="C480" s="23">
        <v>26</v>
      </c>
      <c r="D480" s="224"/>
      <c r="E480" s="224"/>
      <c r="F480" s="224"/>
      <c r="G480" s="224"/>
      <c r="H480" s="224">
        <v>15000</v>
      </c>
      <c r="I480" s="224">
        <v>25000</v>
      </c>
      <c r="J480" s="224"/>
      <c r="K480" s="224"/>
    </row>
    <row r="481" spans="1:11">
      <c r="A481" s="23" t="s">
        <v>236</v>
      </c>
      <c r="B481" s="23">
        <v>24</v>
      </c>
      <c r="C481" s="23">
        <v>27</v>
      </c>
      <c r="D481" s="224"/>
      <c r="E481" s="224"/>
      <c r="F481" s="224"/>
      <c r="G481" s="224"/>
      <c r="H481" s="224">
        <v>31938</v>
      </c>
      <c r="I481" s="224">
        <v>310000</v>
      </c>
      <c r="J481" s="224"/>
      <c r="K481" s="224"/>
    </row>
    <row r="482" spans="1:11">
      <c r="A482" s="23" t="s">
        <v>236</v>
      </c>
      <c r="B482" s="23">
        <v>24</v>
      </c>
      <c r="C482" s="23">
        <v>31</v>
      </c>
      <c r="D482" s="224"/>
      <c r="E482" s="224"/>
      <c r="F482" s="224"/>
      <c r="G482" s="224"/>
      <c r="H482" s="224"/>
      <c r="I482" s="224">
        <v>3000</v>
      </c>
      <c r="J482" s="224"/>
      <c r="K482" s="224"/>
    </row>
    <row r="483" spans="1:11">
      <c r="A483" s="23" t="s">
        <v>236</v>
      </c>
      <c r="B483" s="23">
        <v>24</v>
      </c>
      <c r="C483" s="23">
        <v>33</v>
      </c>
      <c r="D483" s="224"/>
      <c r="E483" s="224"/>
      <c r="F483" s="224"/>
      <c r="G483" s="224"/>
      <c r="H483" s="224">
        <v>1234</v>
      </c>
      <c r="I483" s="224"/>
      <c r="J483" s="224"/>
      <c r="K483" s="224"/>
    </row>
    <row r="484" spans="1:11">
      <c r="A484" s="23" t="s">
        <v>238</v>
      </c>
      <c r="B484" s="23">
        <v>21</v>
      </c>
      <c r="C484" s="23">
        <v>21</v>
      </c>
      <c r="D484" s="224">
        <v>2680</v>
      </c>
      <c r="E484" s="224">
        <v>1483337</v>
      </c>
      <c r="F484" s="224">
        <v>667819</v>
      </c>
      <c r="G484" s="224">
        <v>696674</v>
      </c>
      <c r="H484" s="224">
        <v>31811</v>
      </c>
      <c r="I484" s="224">
        <v>89739</v>
      </c>
      <c r="J484" s="224">
        <v>4100</v>
      </c>
      <c r="K484" s="224"/>
    </row>
    <row r="485" spans="1:11">
      <c r="A485" s="23" t="s">
        <v>238</v>
      </c>
      <c r="B485" s="23">
        <v>21</v>
      </c>
      <c r="C485" s="23">
        <v>24</v>
      </c>
      <c r="D485" s="224"/>
      <c r="E485" s="224"/>
      <c r="F485" s="224">
        <v>62559</v>
      </c>
      <c r="G485" s="224">
        <v>25171</v>
      </c>
      <c r="H485" s="224"/>
      <c r="I485" s="224">
        <v>24430</v>
      </c>
      <c r="J485" s="224"/>
      <c r="K485" s="224"/>
    </row>
    <row r="486" spans="1:11">
      <c r="A486" s="23" t="s">
        <v>238</v>
      </c>
      <c r="B486" s="23">
        <v>21</v>
      </c>
      <c r="C486" s="23">
        <v>25</v>
      </c>
      <c r="D486" s="224"/>
      <c r="E486" s="224">
        <v>10019</v>
      </c>
      <c r="F486" s="224">
        <v>162867</v>
      </c>
      <c r="G486" s="224">
        <v>71770</v>
      </c>
      <c r="H486" s="224"/>
      <c r="I486" s="224">
        <v>628</v>
      </c>
      <c r="J486" s="224"/>
      <c r="K486" s="224"/>
    </row>
    <row r="487" spans="1:11">
      <c r="A487" s="23" t="s">
        <v>238</v>
      </c>
      <c r="B487" s="23">
        <v>21</v>
      </c>
      <c r="C487" s="23">
        <v>26</v>
      </c>
      <c r="D487" s="224">
        <v>1900</v>
      </c>
      <c r="E487" s="224">
        <v>10008466</v>
      </c>
      <c r="F487" s="224">
        <v>322255</v>
      </c>
      <c r="G487" s="224">
        <v>3787401</v>
      </c>
      <c r="H487" s="224">
        <v>45327</v>
      </c>
      <c r="I487" s="224">
        <v>195355</v>
      </c>
      <c r="J487" s="224">
        <v>4300</v>
      </c>
      <c r="K487" s="224">
        <v>10000</v>
      </c>
    </row>
    <row r="488" spans="1:11">
      <c r="A488" s="23" t="s">
        <v>238</v>
      </c>
      <c r="B488" s="23">
        <v>21</v>
      </c>
      <c r="C488" s="23">
        <v>27</v>
      </c>
      <c r="D488" s="224">
        <v>45420</v>
      </c>
      <c r="E488" s="224">
        <v>15271352</v>
      </c>
      <c r="F488" s="224">
        <v>11802200</v>
      </c>
      <c r="G488" s="224">
        <v>11630111</v>
      </c>
      <c r="H488" s="224">
        <v>174250</v>
      </c>
      <c r="I488" s="224">
        <v>1525462</v>
      </c>
      <c r="J488" s="224">
        <v>14300</v>
      </c>
      <c r="K488" s="224"/>
    </row>
    <row r="489" spans="1:11">
      <c r="A489" s="23" t="s">
        <v>238</v>
      </c>
      <c r="B489" s="23">
        <v>21</v>
      </c>
      <c r="C489" s="23">
        <v>31</v>
      </c>
      <c r="D489" s="224"/>
      <c r="E489" s="224">
        <v>407361</v>
      </c>
      <c r="F489" s="224">
        <v>27484</v>
      </c>
      <c r="G489" s="224">
        <v>147419</v>
      </c>
      <c r="H489" s="224">
        <v>8000</v>
      </c>
      <c r="I489" s="224">
        <v>15534</v>
      </c>
      <c r="J489" s="224">
        <v>2300</v>
      </c>
      <c r="K489" s="224"/>
    </row>
    <row r="490" spans="1:11">
      <c r="A490" s="23" t="s">
        <v>238</v>
      </c>
      <c r="B490" s="23">
        <v>21</v>
      </c>
      <c r="C490" s="23">
        <v>32</v>
      </c>
      <c r="D490" s="224"/>
      <c r="E490" s="224"/>
      <c r="F490" s="224"/>
      <c r="G490" s="224"/>
      <c r="H490" s="224">
        <v>25000</v>
      </c>
      <c r="I490" s="224"/>
      <c r="J490" s="224"/>
      <c r="K490" s="224"/>
    </row>
    <row r="491" spans="1:11">
      <c r="A491" s="23" t="s">
        <v>238</v>
      </c>
      <c r="B491" s="23">
        <v>21</v>
      </c>
      <c r="C491" s="23">
        <v>33</v>
      </c>
      <c r="D491" s="224"/>
      <c r="E491" s="224"/>
      <c r="F491" s="224"/>
      <c r="G491" s="224"/>
      <c r="H491" s="224">
        <v>15612</v>
      </c>
      <c r="I491" s="224">
        <v>6346</v>
      </c>
      <c r="J491" s="224"/>
      <c r="K491" s="224"/>
    </row>
    <row r="492" spans="1:11">
      <c r="A492" s="23" t="s">
        <v>238</v>
      </c>
      <c r="B492" s="23">
        <v>21</v>
      </c>
      <c r="C492" s="23">
        <v>34</v>
      </c>
      <c r="D492" s="224"/>
      <c r="E492" s="224">
        <v>234025</v>
      </c>
      <c r="F492" s="224"/>
      <c r="G492" s="224">
        <v>54106</v>
      </c>
      <c r="H492" s="224"/>
      <c r="I492" s="224"/>
      <c r="J492" s="224"/>
      <c r="K492" s="224"/>
    </row>
    <row r="493" spans="1:11">
      <c r="A493" s="23" t="s">
        <v>238</v>
      </c>
      <c r="B493" s="23">
        <v>24</v>
      </c>
      <c r="C493" s="23">
        <v>21</v>
      </c>
      <c r="D493" s="224"/>
      <c r="E493" s="224"/>
      <c r="F493" s="224">
        <v>183429</v>
      </c>
      <c r="G493" s="224">
        <v>76711</v>
      </c>
      <c r="H493" s="224"/>
      <c r="I493" s="224"/>
      <c r="J493" s="224"/>
      <c r="K493" s="224"/>
    </row>
    <row r="494" spans="1:11">
      <c r="A494" s="23" t="s">
        <v>238</v>
      </c>
      <c r="B494" s="23">
        <v>24</v>
      </c>
      <c r="C494" s="23">
        <v>25</v>
      </c>
      <c r="D494" s="224"/>
      <c r="E494" s="224"/>
      <c r="F494" s="224">
        <v>56360</v>
      </c>
      <c r="G494" s="224">
        <v>33533</v>
      </c>
      <c r="H494" s="224"/>
      <c r="I494" s="224"/>
      <c r="J494" s="224"/>
      <c r="K494" s="224"/>
    </row>
    <row r="495" spans="1:11">
      <c r="A495" s="23" t="s">
        <v>238</v>
      </c>
      <c r="B495" s="23">
        <v>24</v>
      </c>
      <c r="C495" s="23">
        <v>27</v>
      </c>
      <c r="D495" s="224"/>
      <c r="E495" s="224">
        <v>1432448</v>
      </c>
      <c r="F495" s="224">
        <v>1141940</v>
      </c>
      <c r="G495" s="224">
        <v>1169525</v>
      </c>
      <c r="H495" s="224"/>
      <c r="I495" s="224"/>
      <c r="J495" s="224"/>
      <c r="K495" s="224"/>
    </row>
    <row r="496" spans="1:11">
      <c r="A496" s="23" t="s">
        <v>240</v>
      </c>
      <c r="B496" s="23">
        <v>21</v>
      </c>
      <c r="C496" s="23">
        <v>21</v>
      </c>
      <c r="D496" s="224">
        <v>50</v>
      </c>
      <c r="E496" s="224">
        <v>140741</v>
      </c>
      <c r="F496" s="224">
        <v>87061</v>
      </c>
      <c r="G496" s="224">
        <v>87882</v>
      </c>
      <c r="H496" s="224">
        <v>1600</v>
      </c>
      <c r="I496" s="224">
        <v>6500</v>
      </c>
      <c r="J496" s="224">
        <v>2000</v>
      </c>
      <c r="K496" s="224"/>
    </row>
    <row r="497" spans="1:11">
      <c r="A497" s="23" t="s">
        <v>240</v>
      </c>
      <c r="B497" s="23">
        <v>21</v>
      </c>
      <c r="C497" s="23">
        <v>26</v>
      </c>
      <c r="D497" s="224"/>
      <c r="E497" s="224">
        <v>708183</v>
      </c>
      <c r="F497" s="224"/>
      <c r="G497" s="224">
        <v>264776</v>
      </c>
      <c r="H497" s="224">
        <v>17000</v>
      </c>
      <c r="I497" s="224">
        <v>95000</v>
      </c>
      <c r="J497" s="224">
        <v>2000</v>
      </c>
      <c r="K497" s="224"/>
    </row>
    <row r="498" spans="1:11">
      <c r="A498" s="23" t="s">
        <v>240</v>
      </c>
      <c r="B498" s="23">
        <v>21</v>
      </c>
      <c r="C498" s="23">
        <v>27</v>
      </c>
      <c r="D498" s="224">
        <v>1041</v>
      </c>
      <c r="E498" s="224">
        <v>1226285</v>
      </c>
      <c r="F498" s="224">
        <v>1087000</v>
      </c>
      <c r="G498" s="224">
        <v>1146763</v>
      </c>
      <c r="H498" s="224">
        <v>29700</v>
      </c>
      <c r="I498" s="224">
        <v>488350</v>
      </c>
      <c r="J498" s="224">
        <v>3700</v>
      </c>
      <c r="K498" s="224"/>
    </row>
    <row r="499" spans="1:11">
      <c r="A499" s="23" t="s">
        <v>240</v>
      </c>
      <c r="B499" s="23">
        <v>21</v>
      </c>
      <c r="C499" s="23">
        <v>31</v>
      </c>
      <c r="D499" s="224"/>
      <c r="E499" s="224"/>
      <c r="F499" s="224"/>
      <c r="G499" s="224"/>
      <c r="H499" s="224"/>
      <c r="I499" s="224"/>
      <c r="J499" s="224">
        <v>2000</v>
      </c>
      <c r="K499" s="224"/>
    </row>
    <row r="500" spans="1:11">
      <c r="A500" s="23" t="s">
        <v>240</v>
      </c>
      <c r="B500" s="23">
        <v>21</v>
      </c>
      <c r="C500" s="23">
        <v>32</v>
      </c>
      <c r="D500" s="224"/>
      <c r="E500" s="224"/>
      <c r="F500" s="224"/>
      <c r="G500" s="224"/>
      <c r="H500" s="224">
        <v>2000</v>
      </c>
      <c r="I500" s="224"/>
      <c r="J500" s="224"/>
      <c r="K500" s="224"/>
    </row>
    <row r="501" spans="1:11">
      <c r="A501" s="23" t="s">
        <v>240</v>
      </c>
      <c r="B501" s="23">
        <v>21</v>
      </c>
      <c r="C501" s="23">
        <v>33</v>
      </c>
      <c r="D501" s="224"/>
      <c r="E501" s="224"/>
      <c r="F501" s="224"/>
      <c r="G501" s="224"/>
      <c r="H501" s="224">
        <v>1500</v>
      </c>
      <c r="I501" s="224"/>
      <c r="J501" s="224"/>
      <c r="K501" s="224"/>
    </row>
    <row r="502" spans="1:11">
      <c r="A502" s="23" t="s">
        <v>240</v>
      </c>
      <c r="B502" s="23">
        <v>24</v>
      </c>
      <c r="C502" s="23">
        <v>26</v>
      </c>
      <c r="D502" s="224"/>
      <c r="E502" s="224"/>
      <c r="F502" s="224"/>
      <c r="G502" s="224"/>
      <c r="H502" s="224">
        <v>16145</v>
      </c>
      <c r="I502" s="224"/>
      <c r="J502" s="224"/>
      <c r="K502" s="224"/>
    </row>
    <row r="503" spans="1:11">
      <c r="A503" s="23" t="s">
        <v>240</v>
      </c>
      <c r="B503" s="23">
        <v>24</v>
      </c>
      <c r="C503" s="23">
        <v>27</v>
      </c>
      <c r="D503" s="224"/>
      <c r="E503" s="224">
        <v>392437</v>
      </c>
      <c r="F503" s="224">
        <v>91464</v>
      </c>
      <c r="G503" s="224">
        <v>229754</v>
      </c>
      <c r="H503" s="224">
        <v>7000</v>
      </c>
      <c r="I503" s="224"/>
      <c r="J503" s="224"/>
      <c r="K503" s="224"/>
    </row>
    <row r="504" spans="1:11">
      <c r="A504" s="23" t="s">
        <v>409</v>
      </c>
      <c r="B504" s="23">
        <v>21</v>
      </c>
      <c r="C504" s="23">
        <v>21</v>
      </c>
      <c r="D504" s="224"/>
      <c r="E504" s="224">
        <v>117771</v>
      </c>
      <c r="F504" s="224">
        <v>51846</v>
      </c>
      <c r="G504" s="224">
        <v>60572</v>
      </c>
      <c r="H504" s="224">
        <v>3153</v>
      </c>
      <c r="I504" s="224"/>
      <c r="J504" s="224"/>
      <c r="K504" s="224"/>
    </row>
    <row r="505" spans="1:11">
      <c r="A505" s="23" t="s">
        <v>409</v>
      </c>
      <c r="B505" s="23">
        <v>21</v>
      </c>
      <c r="C505" s="23">
        <v>26</v>
      </c>
      <c r="D505" s="224"/>
      <c r="E505" s="224">
        <v>361874</v>
      </c>
      <c r="F505" s="224"/>
      <c r="G505" s="224">
        <v>145249</v>
      </c>
      <c r="H505" s="224">
        <v>4150</v>
      </c>
      <c r="I505" s="224">
        <v>600</v>
      </c>
      <c r="J505" s="224">
        <v>100</v>
      </c>
      <c r="K505" s="224"/>
    </row>
    <row r="506" spans="1:11">
      <c r="A506" s="23" t="s">
        <v>409</v>
      </c>
      <c r="B506" s="23">
        <v>21</v>
      </c>
      <c r="C506" s="23">
        <v>27</v>
      </c>
      <c r="D506" s="224">
        <v>1250</v>
      </c>
      <c r="E506" s="224">
        <v>809259</v>
      </c>
      <c r="F506" s="224">
        <v>357839</v>
      </c>
      <c r="G506" s="224">
        <v>539545</v>
      </c>
      <c r="H506" s="224">
        <v>163150</v>
      </c>
      <c r="I506" s="224">
        <v>178227</v>
      </c>
      <c r="J506" s="224">
        <v>1500</v>
      </c>
      <c r="K506" s="224"/>
    </row>
    <row r="507" spans="1:11">
      <c r="A507" s="23" t="s">
        <v>409</v>
      </c>
      <c r="B507" s="23">
        <v>21</v>
      </c>
      <c r="C507" s="23">
        <v>34</v>
      </c>
      <c r="D507" s="224"/>
      <c r="E507" s="224">
        <v>1119</v>
      </c>
      <c r="F507" s="224"/>
      <c r="G507" s="224">
        <v>261</v>
      </c>
      <c r="H507" s="224"/>
      <c r="I507" s="224"/>
      <c r="J507" s="224"/>
      <c r="K507" s="224"/>
    </row>
    <row r="508" spans="1:11">
      <c r="A508" s="23" t="s">
        <v>409</v>
      </c>
      <c r="B508" s="23">
        <v>24</v>
      </c>
      <c r="C508" s="23">
        <v>27</v>
      </c>
      <c r="D508" s="224"/>
      <c r="E508" s="224">
        <v>13763</v>
      </c>
      <c r="F508" s="224">
        <v>228405</v>
      </c>
      <c r="G508" s="224">
        <v>155957</v>
      </c>
      <c r="H508" s="224">
        <v>1242</v>
      </c>
      <c r="I508" s="224"/>
      <c r="J508" s="224"/>
      <c r="K508" s="224"/>
    </row>
    <row r="509" spans="1:11">
      <c r="A509" s="23" t="s">
        <v>411</v>
      </c>
      <c r="B509" s="23">
        <v>21</v>
      </c>
      <c r="C509" s="23">
        <v>27</v>
      </c>
      <c r="D509" s="224"/>
      <c r="E509" s="224">
        <v>85516</v>
      </c>
      <c r="F509" s="224">
        <v>85320</v>
      </c>
      <c r="G509" s="224">
        <v>89514</v>
      </c>
      <c r="H509" s="224">
        <v>1000</v>
      </c>
      <c r="I509" s="224">
        <v>10300</v>
      </c>
      <c r="J509" s="224">
        <v>200</v>
      </c>
      <c r="K509" s="224"/>
    </row>
    <row r="510" spans="1:11">
      <c r="A510" s="23" t="s">
        <v>411</v>
      </c>
      <c r="B510" s="23">
        <v>21</v>
      </c>
      <c r="C510" s="23">
        <v>31</v>
      </c>
      <c r="D510" s="224"/>
      <c r="E510" s="224">
        <v>2650</v>
      </c>
      <c r="F510" s="224"/>
      <c r="G510" s="224">
        <v>623</v>
      </c>
      <c r="H510" s="224"/>
      <c r="I510" s="224"/>
      <c r="J510" s="224"/>
      <c r="K510" s="224"/>
    </row>
    <row r="511" spans="1:11">
      <c r="A511" s="23" t="s">
        <v>411</v>
      </c>
      <c r="B511" s="23">
        <v>24</v>
      </c>
      <c r="C511" s="23">
        <v>27</v>
      </c>
      <c r="D511" s="224"/>
      <c r="E511" s="224"/>
      <c r="F511" s="224"/>
      <c r="G511" s="224"/>
      <c r="H511" s="224"/>
      <c r="I511" s="224">
        <v>30000</v>
      </c>
      <c r="J511" s="224"/>
      <c r="K511" s="224"/>
    </row>
    <row r="512" spans="1:11">
      <c r="A512" s="23" t="s">
        <v>413</v>
      </c>
      <c r="B512" s="23">
        <v>21</v>
      </c>
      <c r="C512" s="23">
        <v>21</v>
      </c>
      <c r="D512" s="224"/>
      <c r="E512" s="224">
        <v>6911</v>
      </c>
      <c r="F512" s="224"/>
      <c r="G512" s="224">
        <v>1594</v>
      </c>
      <c r="H512" s="224"/>
      <c r="I512" s="224"/>
      <c r="J512" s="224"/>
      <c r="K512" s="224"/>
    </row>
    <row r="513" spans="1:11">
      <c r="A513" s="23" t="s">
        <v>413</v>
      </c>
      <c r="B513" s="23">
        <v>21</v>
      </c>
      <c r="C513" s="23">
        <v>26</v>
      </c>
      <c r="D513" s="224"/>
      <c r="E513" s="224"/>
      <c r="F513" s="224"/>
      <c r="G513" s="224"/>
      <c r="H513" s="224"/>
      <c r="I513" s="224">
        <v>65724</v>
      </c>
      <c r="J513" s="224"/>
      <c r="K513" s="224"/>
    </row>
    <row r="514" spans="1:11">
      <c r="A514" s="23" t="s">
        <v>413</v>
      </c>
      <c r="B514" s="23">
        <v>21</v>
      </c>
      <c r="C514" s="23">
        <v>27</v>
      </c>
      <c r="D514" s="224"/>
      <c r="E514" s="224">
        <v>73517</v>
      </c>
      <c r="F514" s="224">
        <v>115465</v>
      </c>
      <c r="G514" s="224">
        <v>97704</v>
      </c>
      <c r="H514" s="224">
        <v>4340</v>
      </c>
      <c r="I514" s="224">
        <v>825</v>
      </c>
      <c r="J514" s="224"/>
      <c r="K514" s="224"/>
    </row>
    <row r="515" spans="1:11">
      <c r="A515" s="23" t="s">
        <v>413</v>
      </c>
      <c r="B515" s="23">
        <v>21</v>
      </c>
      <c r="C515" s="23">
        <v>31</v>
      </c>
      <c r="D515" s="224"/>
      <c r="E515" s="224">
        <v>452</v>
      </c>
      <c r="F515" s="224"/>
      <c r="G515" s="224">
        <v>44</v>
      </c>
      <c r="H515" s="224"/>
      <c r="I515" s="224">
        <v>500</v>
      </c>
      <c r="J515" s="224"/>
      <c r="K515" s="224"/>
    </row>
    <row r="516" spans="1:11">
      <c r="A516" s="23" t="s">
        <v>413</v>
      </c>
      <c r="B516" s="23">
        <v>24</v>
      </c>
      <c r="C516" s="23">
        <v>21</v>
      </c>
      <c r="D516" s="224"/>
      <c r="E516" s="224"/>
      <c r="F516" s="224">
        <v>5126</v>
      </c>
      <c r="G516" s="224">
        <v>2624</v>
      </c>
      <c r="H516" s="224"/>
      <c r="I516" s="224"/>
      <c r="J516" s="224"/>
      <c r="K516" s="224"/>
    </row>
    <row r="517" spans="1:11">
      <c r="A517" s="23" t="s">
        <v>413</v>
      </c>
      <c r="B517" s="23">
        <v>24</v>
      </c>
      <c r="C517" s="23">
        <v>26</v>
      </c>
      <c r="D517" s="224"/>
      <c r="E517" s="224"/>
      <c r="F517" s="224"/>
      <c r="G517" s="224"/>
      <c r="H517" s="224"/>
      <c r="I517" s="224">
        <v>28976</v>
      </c>
      <c r="J517" s="224"/>
      <c r="K517" s="224"/>
    </row>
    <row r="518" spans="1:11">
      <c r="A518" s="23" t="s">
        <v>413</v>
      </c>
      <c r="B518" s="23">
        <v>24</v>
      </c>
      <c r="C518" s="23">
        <v>27</v>
      </c>
      <c r="D518" s="224"/>
      <c r="E518" s="224"/>
      <c r="F518" s="224">
        <v>19218</v>
      </c>
      <c r="G518" s="224">
        <v>11902</v>
      </c>
      <c r="H518" s="224"/>
      <c r="I518" s="224"/>
      <c r="J518" s="224"/>
      <c r="K518" s="224"/>
    </row>
    <row r="519" spans="1:11">
      <c r="A519" s="23" t="s">
        <v>413</v>
      </c>
      <c r="B519" s="23">
        <v>24</v>
      </c>
      <c r="C519" s="23">
        <v>31</v>
      </c>
      <c r="D519" s="224"/>
      <c r="E519" s="224"/>
      <c r="F519" s="224"/>
      <c r="G519" s="224"/>
      <c r="H519" s="224"/>
      <c r="I519" s="224">
        <v>2096</v>
      </c>
      <c r="J519" s="224"/>
      <c r="K519" s="224"/>
    </row>
    <row r="520" spans="1:11">
      <c r="A520" s="23" t="s">
        <v>415</v>
      </c>
      <c r="B520" s="23">
        <v>21</v>
      </c>
      <c r="C520" s="23">
        <v>21</v>
      </c>
      <c r="D520" s="224"/>
      <c r="E520" s="224">
        <v>310814</v>
      </c>
      <c r="F520" s="224">
        <v>65067</v>
      </c>
      <c r="G520" s="224">
        <v>118934</v>
      </c>
      <c r="H520" s="224"/>
      <c r="I520" s="224">
        <v>3000</v>
      </c>
      <c r="J520" s="224"/>
      <c r="K520" s="224"/>
    </row>
    <row r="521" spans="1:11">
      <c r="A521" s="23" t="s">
        <v>415</v>
      </c>
      <c r="B521" s="23">
        <v>21</v>
      </c>
      <c r="C521" s="23">
        <v>26</v>
      </c>
      <c r="D521" s="224"/>
      <c r="E521" s="224">
        <v>865791</v>
      </c>
      <c r="F521" s="224">
        <v>128360</v>
      </c>
      <c r="G521" s="224">
        <v>375846</v>
      </c>
      <c r="H521" s="224">
        <v>2800</v>
      </c>
      <c r="I521" s="224">
        <v>325000</v>
      </c>
      <c r="J521" s="224">
        <v>500</v>
      </c>
      <c r="K521" s="224"/>
    </row>
    <row r="522" spans="1:11">
      <c r="A522" s="23" t="s">
        <v>415</v>
      </c>
      <c r="B522" s="23">
        <v>21</v>
      </c>
      <c r="C522" s="23">
        <v>27</v>
      </c>
      <c r="D522" s="224"/>
      <c r="E522" s="224">
        <v>2830061</v>
      </c>
      <c r="F522" s="224">
        <v>1932635</v>
      </c>
      <c r="G522" s="224">
        <v>2233308</v>
      </c>
      <c r="H522" s="224">
        <v>3800</v>
      </c>
      <c r="I522" s="224">
        <v>475000</v>
      </c>
      <c r="J522" s="224">
        <v>500</v>
      </c>
      <c r="K522" s="224"/>
    </row>
    <row r="523" spans="1:11">
      <c r="A523" s="23" t="s">
        <v>415</v>
      </c>
      <c r="B523" s="23">
        <v>21</v>
      </c>
      <c r="C523" s="23">
        <v>31</v>
      </c>
      <c r="D523" s="224"/>
      <c r="E523" s="224">
        <v>152799</v>
      </c>
      <c r="F523" s="224"/>
      <c r="G523" s="224">
        <v>35274</v>
      </c>
      <c r="H523" s="224"/>
      <c r="I523" s="224">
        <v>15000</v>
      </c>
      <c r="J523" s="224"/>
      <c r="K523" s="224"/>
    </row>
    <row r="524" spans="1:11">
      <c r="A524" s="23" t="s">
        <v>415</v>
      </c>
      <c r="B524" s="23">
        <v>21</v>
      </c>
      <c r="C524" s="23">
        <v>32</v>
      </c>
      <c r="D524" s="224"/>
      <c r="E524" s="224"/>
      <c r="F524" s="224"/>
      <c r="G524" s="224"/>
      <c r="H524" s="224">
        <v>3000</v>
      </c>
      <c r="I524" s="224"/>
      <c r="J524" s="224"/>
      <c r="K524" s="224"/>
    </row>
    <row r="525" spans="1:11">
      <c r="A525" s="23" t="s">
        <v>415</v>
      </c>
      <c r="B525" s="23">
        <v>21</v>
      </c>
      <c r="C525" s="23">
        <v>33</v>
      </c>
      <c r="D525" s="224"/>
      <c r="E525" s="224"/>
      <c r="F525" s="224"/>
      <c r="G525" s="224"/>
      <c r="H525" s="224">
        <v>2500</v>
      </c>
      <c r="I525" s="224"/>
      <c r="J525" s="224"/>
      <c r="K525" s="224"/>
    </row>
    <row r="526" spans="1:11">
      <c r="A526" s="23" t="s">
        <v>415</v>
      </c>
      <c r="B526" s="23">
        <v>23</v>
      </c>
      <c r="C526" s="23">
        <v>26</v>
      </c>
      <c r="D526" s="224"/>
      <c r="E526" s="224"/>
      <c r="F526" s="224"/>
      <c r="G526" s="224"/>
      <c r="H526" s="224">
        <v>31600</v>
      </c>
      <c r="I526" s="224"/>
      <c r="J526" s="224"/>
      <c r="K526" s="224"/>
    </row>
    <row r="527" spans="1:11">
      <c r="A527" s="23" t="s">
        <v>415</v>
      </c>
      <c r="B527" s="23">
        <v>23</v>
      </c>
      <c r="C527" s="23">
        <v>27</v>
      </c>
      <c r="D527" s="224"/>
      <c r="E527" s="224"/>
      <c r="F527" s="224"/>
      <c r="G527" s="224"/>
      <c r="H527" s="224">
        <v>16202</v>
      </c>
      <c r="I527" s="224">
        <v>6000</v>
      </c>
      <c r="J527" s="224"/>
      <c r="K527" s="224"/>
    </row>
    <row r="528" spans="1:11">
      <c r="A528" s="23" t="s">
        <v>415</v>
      </c>
      <c r="B528" s="23">
        <v>23</v>
      </c>
      <c r="C528" s="23">
        <v>31</v>
      </c>
      <c r="D528" s="224"/>
      <c r="E528" s="224">
        <v>99567</v>
      </c>
      <c r="F528" s="224"/>
      <c r="G528" s="224">
        <v>22821</v>
      </c>
      <c r="H528" s="224"/>
      <c r="I528" s="224">
        <v>46000</v>
      </c>
      <c r="J528" s="224"/>
      <c r="K528" s="224"/>
    </row>
    <row r="529" spans="1:11">
      <c r="A529" s="23" t="s">
        <v>415</v>
      </c>
      <c r="B529" s="23">
        <v>23</v>
      </c>
      <c r="C529" s="23">
        <v>32</v>
      </c>
      <c r="D529" s="224"/>
      <c r="E529" s="224"/>
      <c r="F529" s="224"/>
      <c r="G529" s="224"/>
      <c r="H529" s="224">
        <v>12988</v>
      </c>
      <c r="I529" s="224"/>
      <c r="J529" s="224"/>
      <c r="K529" s="224"/>
    </row>
    <row r="530" spans="1:11">
      <c r="A530" s="23" t="s">
        <v>415</v>
      </c>
      <c r="B530" s="23">
        <v>24</v>
      </c>
      <c r="C530" s="23">
        <v>26</v>
      </c>
      <c r="D530" s="224"/>
      <c r="E530" s="224">
        <v>191895</v>
      </c>
      <c r="F530" s="224"/>
      <c r="G530" s="224">
        <v>68904</v>
      </c>
      <c r="H530" s="224">
        <v>100</v>
      </c>
      <c r="I530" s="224">
        <v>95000</v>
      </c>
      <c r="J530" s="224"/>
      <c r="K530" s="224"/>
    </row>
    <row r="531" spans="1:11">
      <c r="A531" s="23" t="s">
        <v>415</v>
      </c>
      <c r="B531" s="23">
        <v>24</v>
      </c>
      <c r="C531" s="23">
        <v>27</v>
      </c>
      <c r="D531" s="224"/>
      <c r="E531" s="224">
        <v>348584</v>
      </c>
      <c r="F531" s="224">
        <v>22151</v>
      </c>
      <c r="G531" s="224">
        <v>141488</v>
      </c>
      <c r="H531" s="224">
        <v>3500</v>
      </c>
      <c r="I531" s="224">
        <v>63000</v>
      </c>
      <c r="J531" s="224"/>
      <c r="K531" s="224"/>
    </row>
    <row r="532" spans="1:11">
      <c r="A532" s="23" t="s">
        <v>415</v>
      </c>
      <c r="B532" s="23">
        <v>24</v>
      </c>
      <c r="C532" s="23">
        <v>31</v>
      </c>
      <c r="D532" s="224"/>
      <c r="E532" s="224">
        <v>23394</v>
      </c>
      <c r="F532" s="224"/>
      <c r="G532" s="224">
        <v>5402</v>
      </c>
      <c r="H532" s="224"/>
      <c r="I532" s="224"/>
      <c r="J532" s="224"/>
      <c r="K532" s="224"/>
    </row>
    <row r="533" spans="1:11">
      <c r="A533" s="23" t="s">
        <v>417</v>
      </c>
      <c r="B533" s="23">
        <v>21</v>
      </c>
      <c r="C533" s="23">
        <v>21</v>
      </c>
      <c r="D533" s="224"/>
      <c r="E533" s="224">
        <v>194037</v>
      </c>
      <c r="F533" s="224">
        <v>88900</v>
      </c>
      <c r="G533" s="224">
        <v>111196</v>
      </c>
      <c r="H533" s="224">
        <v>5000</v>
      </c>
      <c r="I533" s="224">
        <v>16200</v>
      </c>
      <c r="J533" s="224">
        <v>500</v>
      </c>
      <c r="K533" s="224"/>
    </row>
    <row r="534" spans="1:11">
      <c r="A534" s="23" t="s">
        <v>417</v>
      </c>
      <c r="B534" s="23">
        <v>21</v>
      </c>
      <c r="C534" s="23">
        <v>25</v>
      </c>
      <c r="D534" s="224"/>
      <c r="E534" s="224"/>
      <c r="F534" s="224">
        <v>55834</v>
      </c>
      <c r="G534" s="224">
        <v>47688</v>
      </c>
      <c r="H534" s="224"/>
      <c r="I534" s="224"/>
      <c r="J534" s="224"/>
      <c r="K534" s="224"/>
    </row>
    <row r="535" spans="1:11">
      <c r="A535" s="23" t="s">
        <v>417</v>
      </c>
      <c r="B535" s="23">
        <v>21</v>
      </c>
      <c r="C535" s="23">
        <v>26</v>
      </c>
      <c r="D535" s="224"/>
      <c r="E535" s="224">
        <v>381052</v>
      </c>
      <c r="F535" s="224">
        <v>55449</v>
      </c>
      <c r="G535" s="224">
        <v>183505</v>
      </c>
      <c r="H535" s="224">
        <v>11000</v>
      </c>
      <c r="I535" s="224">
        <v>373278</v>
      </c>
      <c r="J535" s="224">
        <v>200</v>
      </c>
      <c r="K535" s="224"/>
    </row>
    <row r="536" spans="1:11">
      <c r="A536" s="23" t="s">
        <v>417</v>
      </c>
      <c r="B536" s="23">
        <v>21</v>
      </c>
      <c r="C536" s="23">
        <v>27</v>
      </c>
      <c r="D536" s="224">
        <v>500</v>
      </c>
      <c r="E536" s="224">
        <v>1004833</v>
      </c>
      <c r="F536" s="224">
        <v>440842</v>
      </c>
      <c r="G536" s="224">
        <v>634026</v>
      </c>
      <c r="H536" s="224">
        <v>10500</v>
      </c>
      <c r="I536" s="224">
        <v>49105</v>
      </c>
      <c r="J536" s="224">
        <v>100</v>
      </c>
      <c r="K536" s="224"/>
    </row>
    <row r="537" spans="1:11">
      <c r="A537" s="23" t="s">
        <v>417</v>
      </c>
      <c r="B537" s="23">
        <v>21</v>
      </c>
      <c r="C537" s="23">
        <v>31</v>
      </c>
      <c r="D537" s="224">
        <v>1000</v>
      </c>
      <c r="E537" s="224">
        <v>830</v>
      </c>
      <c r="F537" s="224">
        <v>1210</v>
      </c>
      <c r="G537" s="224">
        <v>345</v>
      </c>
      <c r="H537" s="224"/>
      <c r="I537" s="224">
        <v>4000</v>
      </c>
      <c r="J537" s="224">
        <v>4000</v>
      </c>
      <c r="K537" s="224"/>
    </row>
    <row r="538" spans="1:11">
      <c r="A538" s="23" t="s">
        <v>417</v>
      </c>
      <c r="B538" s="23">
        <v>21</v>
      </c>
      <c r="C538" s="23">
        <v>32</v>
      </c>
      <c r="D538" s="224"/>
      <c r="E538" s="224"/>
      <c r="F538" s="224"/>
      <c r="G538" s="224"/>
      <c r="H538" s="224">
        <v>4000</v>
      </c>
      <c r="I538" s="224">
        <v>6851</v>
      </c>
      <c r="J538" s="224"/>
      <c r="K538" s="224"/>
    </row>
    <row r="539" spans="1:11">
      <c r="A539" s="23" t="s">
        <v>417</v>
      </c>
      <c r="B539" s="23">
        <v>21</v>
      </c>
      <c r="C539" s="23">
        <v>33</v>
      </c>
      <c r="D539" s="224"/>
      <c r="E539" s="224"/>
      <c r="F539" s="224"/>
      <c r="G539" s="224"/>
      <c r="H539" s="224">
        <v>8000</v>
      </c>
      <c r="I539" s="224"/>
      <c r="J539" s="224"/>
      <c r="K539" s="224"/>
    </row>
    <row r="540" spans="1:11">
      <c r="A540" s="23" t="s">
        <v>417</v>
      </c>
      <c r="B540" s="23">
        <v>21</v>
      </c>
      <c r="C540" s="23">
        <v>34</v>
      </c>
      <c r="D540" s="224"/>
      <c r="E540" s="224">
        <v>20437</v>
      </c>
      <c r="F540" s="224"/>
      <c r="G540" s="224">
        <v>4187</v>
      </c>
      <c r="H540" s="224"/>
      <c r="I540" s="224"/>
      <c r="J540" s="224"/>
      <c r="K540" s="224"/>
    </row>
    <row r="541" spans="1:11">
      <c r="A541" s="23" t="s">
        <v>417</v>
      </c>
      <c r="B541" s="23">
        <v>24</v>
      </c>
      <c r="C541" s="23">
        <v>27</v>
      </c>
      <c r="D541" s="224"/>
      <c r="E541" s="224"/>
      <c r="F541" s="224">
        <v>323412</v>
      </c>
      <c r="G541" s="224">
        <v>214281</v>
      </c>
      <c r="H541" s="224">
        <v>1051</v>
      </c>
      <c r="I541" s="224"/>
      <c r="J541" s="224"/>
      <c r="K541" s="224"/>
    </row>
    <row r="542" spans="1:11">
      <c r="A542" s="23" t="s">
        <v>419</v>
      </c>
      <c r="B542" s="23">
        <v>21</v>
      </c>
      <c r="C542" s="23">
        <v>27</v>
      </c>
      <c r="D542" s="224"/>
      <c r="E542" s="224">
        <v>26897</v>
      </c>
      <c r="F542" s="224">
        <v>16403</v>
      </c>
      <c r="G542" s="224">
        <v>15973</v>
      </c>
      <c r="H542" s="224">
        <v>5000</v>
      </c>
      <c r="I542" s="224">
        <v>1500</v>
      </c>
      <c r="J542" s="224"/>
      <c r="K542" s="224"/>
    </row>
    <row r="543" spans="1:11">
      <c r="A543" s="23" t="s">
        <v>419</v>
      </c>
      <c r="B543" s="23">
        <v>21</v>
      </c>
      <c r="C543" s="23">
        <v>29</v>
      </c>
      <c r="D543" s="224"/>
      <c r="E543" s="224"/>
      <c r="F543" s="224"/>
      <c r="G543" s="224"/>
      <c r="H543" s="224"/>
      <c r="I543" s="224">
        <v>58000</v>
      </c>
      <c r="J543" s="224"/>
      <c r="K543" s="224"/>
    </row>
    <row r="544" spans="1:11">
      <c r="A544" s="23" t="s">
        <v>419</v>
      </c>
      <c r="B544" s="23">
        <v>21</v>
      </c>
      <c r="C544" s="23">
        <v>31</v>
      </c>
      <c r="D544" s="224"/>
      <c r="E544" s="224"/>
      <c r="F544" s="224"/>
      <c r="G544" s="224"/>
      <c r="H544" s="224"/>
      <c r="I544" s="224"/>
      <c r="J544" s="224">
        <v>300</v>
      </c>
      <c r="K544" s="224"/>
    </row>
    <row r="545" spans="1:11">
      <c r="A545" s="23" t="s">
        <v>419</v>
      </c>
      <c r="B545" s="23">
        <v>24</v>
      </c>
      <c r="C545" s="23">
        <v>26</v>
      </c>
      <c r="D545" s="224"/>
      <c r="E545" s="224"/>
      <c r="F545" s="224"/>
      <c r="G545" s="224"/>
      <c r="H545" s="224"/>
      <c r="I545" s="224">
        <v>9685</v>
      </c>
      <c r="J545" s="224"/>
      <c r="K545" s="224"/>
    </row>
    <row r="546" spans="1:11">
      <c r="A546" s="23" t="s">
        <v>513</v>
      </c>
      <c r="B546" s="23">
        <v>21</v>
      </c>
      <c r="C546" s="23">
        <v>21</v>
      </c>
      <c r="D546" s="224">
        <v>400</v>
      </c>
      <c r="E546" s="224">
        <v>712019</v>
      </c>
      <c r="F546" s="224">
        <v>366123</v>
      </c>
      <c r="G546" s="224">
        <v>338120</v>
      </c>
      <c r="H546" s="224">
        <v>12580</v>
      </c>
      <c r="I546" s="224">
        <v>13700</v>
      </c>
      <c r="J546" s="224">
        <v>4300</v>
      </c>
      <c r="K546" s="224"/>
    </row>
    <row r="547" spans="1:11">
      <c r="A547" s="23" t="s">
        <v>513</v>
      </c>
      <c r="B547" s="23">
        <v>21</v>
      </c>
      <c r="C547" s="23">
        <v>25</v>
      </c>
      <c r="D547" s="224"/>
      <c r="E547" s="224"/>
      <c r="F547" s="224">
        <v>902552</v>
      </c>
      <c r="G547" s="224">
        <v>465836</v>
      </c>
      <c r="H547" s="224"/>
      <c r="I547" s="224">
        <v>123000</v>
      </c>
      <c r="J547" s="224"/>
      <c r="K547" s="224"/>
    </row>
    <row r="548" spans="1:11">
      <c r="A548" s="23" t="s">
        <v>513</v>
      </c>
      <c r="B548" s="23">
        <v>21</v>
      </c>
      <c r="C548" s="23">
        <v>26</v>
      </c>
      <c r="D548" s="224">
        <v>400</v>
      </c>
      <c r="E548" s="224">
        <v>8184377</v>
      </c>
      <c r="F548" s="224">
        <v>919262</v>
      </c>
      <c r="G548" s="224">
        <v>3217734</v>
      </c>
      <c r="H548" s="224">
        <v>51050</v>
      </c>
      <c r="I548" s="224">
        <v>465600</v>
      </c>
      <c r="J548" s="224">
        <v>3925</v>
      </c>
      <c r="K548" s="224"/>
    </row>
    <row r="549" spans="1:11">
      <c r="A549" s="23" t="s">
        <v>513</v>
      </c>
      <c r="B549" s="23">
        <v>21</v>
      </c>
      <c r="C549" s="23">
        <v>27</v>
      </c>
      <c r="D549" s="224">
        <v>1500</v>
      </c>
      <c r="E549" s="224">
        <v>15516124</v>
      </c>
      <c r="F549" s="224">
        <v>8096728</v>
      </c>
      <c r="G549" s="224">
        <v>9712216</v>
      </c>
      <c r="H549" s="224">
        <v>51500</v>
      </c>
      <c r="I549" s="224">
        <v>949319</v>
      </c>
      <c r="J549" s="224">
        <v>3450</v>
      </c>
      <c r="K549" s="224"/>
    </row>
    <row r="550" spans="1:11">
      <c r="A550" s="23" t="s">
        <v>513</v>
      </c>
      <c r="B550" s="23">
        <v>21</v>
      </c>
      <c r="C550" s="23">
        <v>29</v>
      </c>
      <c r="D550" s="224"/>
      <c r="E550" s="224"/>
      <c r="F550" s="224"/>
      <c r="G550" s="224"/>
      <c r="H550" s="224"/>
      <c r="I550" s="224">
        <v>406000</v>
      </c>
      <c r="J550" s="224"/>
      <c r="K550" s="224"/>
    </row>
    <row r="551" spans="1:11">
      <c r="A551" s="23" t="s">
        <v>513</v>
      </c>
      <c r="B551" s="23">
        <v>21</v>
      </c>
      <c r="C551" s="23">
        <v>31</v>
      </c>
      <c r="D551" s="224"/>
      <c r="E551" s="224">
        <v>37000</v>
      </c>
      <c r="F551" s="224">
        <v>26000</v>
      </c>
      <c r="G551" s="224">
        <v>13000</v>
      </c>
      <c r="H551" s="224">
        <v>2000</v>
      </c>
      <c r="I551" s="224">
        <v>8300</v>
      </c>
      <c r="J551" s="224">
        <v>250</v>
      </c>
      <c r="K551" s="224"/>
    </row>
    <row r="552" spans="1:11">
      <c r="A552" s="23" t="s">
        <v>513</v>
      </c>
      <c r="B552" s="23">
        <v>21</v>
      </c>
      <c r="C552" s="23">
        <v>32</v>
      </c>
      <c r="D552" s="224"/>
      <c r="E552" s="224"/>
      <c r="F552" s="224"/>
      <c r="G552" s="224"/>
      <c r="H552" s="224">
        <v>7000</v>
      </c>
      <c r="I552" s="224">
        <v>1500</v>
      </c>
      <c r="J552" s="224"/>
      <c r="K552" s="224"/>
    </row>
    <row r="553" spans="1:11">
      <c r="A553" s="23" t="s">
        <v>513</v>
      </c>
      <c r="B553" s="23">
        <v>21</v>
      </c>
      <c r="C553" s="23">
        <v>33</v>
      </c>
      <c r="D553" s="224"/>
      <c r="E553" s="224"/>
      <c r="F553" s="224"/>
      <c r="G553" s="224"/>
      <c r="H553" s="224">
        <v>9500</v>
      </c>
      <c r="I553" s="224"/>
      <c r="J553" s="224"/>
      <c r="K553" s="224"/>
    </row>
    <row r="554" spans="1:11">
      <c r="A554" s="23" t="s">
        <v>513</v>
      </c>
      <c r="B554" s="23">
        <v>21</v>
      </c>
      <c r="C554" s="23">
        <v>34</v>
      </c>
      <c r="D554" s="224"/>
      <c r="E554" s="224">
        <v>214970</v>
      </c>
      <c r="F554" s="224"/>
      <c r="G554" s="224">
        <v>48025</v>
      </c>
      <c r="H554" s="224"/>
      <c r="I554" s="224"/>
      <c r="J554" s="224"/>
      <c r="K554" s="224"/>
    </row>
    <row r="555" spans="1:11">
      <c r="A555" s="23" t="s">
        <v>513</v>
      </c>
      <c r="B555" s="23">
        <v>23</v>
      </c>
      <c r="C555" s="23">
        <v>21</v>
      </c>
      <c r="D555" s="224"/>
      <c r="E555" s="224">
        <v>34727</v>
      </c>
      <c r="F555" s="224"/>
      <c r="G555" s="224">
        <v>10198</v>
      </c>
      <c r="H555" s="224"/>
      <c r="I555" s="224"/>
      <c r="J555" s="224"/>
      <c r="K555" s="224"/>
    </row>
    <row r="556" spans="1:11">
      <c r="A556" s="23" t="s">
        <v>513</v>
      </c>
      <c r="B556" s="23">
        <v>23</v>
      </c>
      <c r="C556" s="23">
        <v>27</v>
      </c>
      <c r="D556" s="224"/>
      <c r="E556" s="224">
        <v>204497</v>
      </c>
      <c r="F556" s="224">
        <v>30239</v>
      </c>
      <c r="G556" s="224">
        <v>90334</v>
      </c>
      <c r="H556" s="224"/>
      <c r="I556" s="224">
        <v>114771</v>
      </c>
      <c r="J556" s="224"/>
      <c r="K556" s="224"/>
    </row>
    <row r="557" spans="1:11">
      <c r="A557" s="23" t="s">
        <v>513</v>
      </c>
      <c r="B557" s="23">
        <v>24</v>
      </c>
      <c r="C557" s="23">
        <v>21</v>
      </c>
      <c r="D557" s="224"/>
      <c r="E557" s="224"/>
      <c r="F557" s="224">
        <v>114933</v>
      </c>
      <c r="G557" s="224">
        <v>48122</v>
      </c>
      <c r="H557" s="224"/>
      <c r="I557" s="224"/>
      <c r="J557" s="224"/>
      <c r="K557" s="224"/>
    </row>
    <row r="558" spans="1:11">
      <c r="A558" s="23" t="s">
        <v>513</v>
      </c>
      <c r="B558" s="23">
        <v>24</v>
      </c>
      <c r="C558" s="23">
        <v>24</v>
      </c>
      <c r="D558" s="224"/>
      <c r="E558" s="224"/>
      <c r="F558" s="224">
        <v>79995</v>
      </c>
      <c r="G558" s="224">
        <v>36239</v>
      </c>
      <c r="H558" s="224"/>
      <c r="I558" s="224"/>
      <c r="J558" s="224"/>
      <c r="K558" s="224"/>
    </row>
    <row r="559" spans="1:11">
      <c r="A559" s="23" t="s">
        <v>513</v>
      </c>
      <c r="B559" s="23">
        <v>24</v>
      </c>
      <c r="C559" s="23">
        <v>26</v>
      </c>
      <c r="D559" s="224"/>
      <c r="E559" s="224">
        <v>2540153</v>
      </c>
      <c r="F559" s="224"/>
      <c r="G559" s="224">
        <v>833156</v>
      </c>
      <c r="H559" s="224"/>
      <c r="I559" s="224">
        <v>100000</v>
      </c>
      <c r="J559" s="224"/>
      <c r="K559" s="224"/>
    </row>
    <row r="560" spans="1:11">
      <c r="A560" s="23" t="s">
        <v>513</v>
      </c>
      <c r="B560" s="23">
        <v>24</v>
      </c>
      <c r="C560" s="23">
        <v>27</v>
      </c>
      <c r="D560" s="224"/>
      <c r="E560" s="224">
        <v>179402</v>
      </c>
      <c r="F560" s="224"/>
      <c r="G560" s="224">
        <v>42466</v>
      </c>
      <c r="H560" s="224"/>
      <c r="I560" s="224">
        <v>375000</v>
      </c>
      <c r="J560" s="224"/>
      <c r="K560" s="224"/>
    </row>
    <row r="561" spans="1:11">
      <c r="A561" s="23" t="s">
        <v>513</v>
      </c>
      <c r="B561" s="23">
        <v>24</v>
      </c>
      <c r="C561" s="23">
        <v>29</v>
      </c>
      <c r="D561" s="224"/>
      <c r="E561" s="224"/>
      <c r="F561" s="224"/>
      <c r="G561" s="224"/>
      <c r="H561" s="224"/>
      <c r="I561" s="224">
        <v>25000</v>
      </c>
      <c r="J561" s="224"/>
      <c r="K561" s="224"/>
    </row>
    <row r="562" spans="1:11">
      <c r="A562" s="23" t="s">
        <v>515</v>
      </c>
      <c r="B562" s="23">
        <v>21</v>
      </c>
      <c r="C562" s="23">
        <v>21</v>
      </c>
      <c r="D562" s="224"/>
      <c r="E562" s="224">
        <v>1160581</v>
      </c>
      <c r="F562" s="224">
        <v>281238</v>
      </c>
      <c r="G562" s="224">
        <v>482121</v>
      </c>
      <c r="H562" s="224">
        <v>7000</v>
      </c>
      <c r="I562" s="224">
        <v>43975</v>
      </c>
      <c r="J562" s="224">
        <v>8000</v>
      </c>
      <c r="K562" s="224"/>
    </row>
    <row r="563" spans="1:11">
      <c r="A563" s="23" t="s">
        <v>515</v>
      </c>
      <c r="B563" s="23">
        <v>21</v>
      </c>
      <c r="C563" s="23">
        <v>23</v>
      </c>
      <c r="D563" s="224"/>
      <c r="E563" s="224"/>
      <c r="F563" s="224">
        <v>345867</v>
      </c>
      <c r="G563" s="224">
        <v>195312</v>
      </c>
      <c r="H563" s="224"/>
      <c r="I563" s="224"/>
      <c r="J563" s="224">
        <v>1000</v>
      </c>
      <c r="K563" s="224"/>
    </row>
    <row r="564" spans="1:11">
      <c r="A564" s="23" t="s">
        <v>515</v>
      </c>
      <c r="B564" s="23">
        <v>21</v>
      </c>
      <c r="C564" s="23">
        <v>25</v>
      </c>
      <c r="D564" s="224"/>
      <c r="E564" s="224"/>
      <c r="F564" s="224">
        <v>95743</v>
      </c>
      <c r="G564" s="224">
        <v>22443</v>
      </c>
      <c r="H564" s="224"/>
      <c r="I564" s="224"/>
      <c r="J564" s="224"/>
      <c r="K564" s="224"/>
    </row>
    <row r="565" spans="1:11">
      <c r="A565" s="23" t="s">
        <v>515</v>
      </c>
      <c r="B565" s="23">
        <v>21</v>
      </c>
      <c r="C565" s="23">
        <v>26</v>
      </c>
      <c r="D565" s="224"/>
      <c r="E565" s="224">
        <v>8009012</v>
      </c>
      <c r="F565" s="224">
        <v>476965</v>
      </c>
      <c r="G565" s="224">
        <v>3076048</v>
      </c>
      <c r="H565" s="224">
        <v>75500</v>
      </c>
      <c r="I565" s="224">
        <v>300000</v>
      </c>
      <c r="J565" s="224">
        <v>4000</v>
      </c>
      <c r="K565" s="224"/>
    </row>
    <row r="566" spans="1:11">
      <c r="A566" s="23" t="s">
        <v>515</v>
      </c>
      <c r="B566" s="23">
        <v>21</v>
      </c>
      <c r="C566" s="23">
        <v>27</v>
      </c>
      <c r="D566" s="224"/>
      <c r="E566" s="224">
        <v>16537087</v>
      </c>
      <c r="F566" s="224">
        <v>8845849</v>
      </c>
      <c r="G566" s="224">
        <v>11867086</v>
      </c>
      <c r="H566" s="224">
        <v>48035</v>
      </c>
      <c r="I566" s="224">
        <v>400000</v>
      </c>
      <c r="J566" s="224">
        <v>5500</v>
      </c>
      <c r="K566" s="224"/>
    </row>
    <row r="567" spans="1:11">
      <c r="A567" s="23" t="s">
        <v>515</v>
      </c>
      <c r="B567" s="23">
        <v>21</v>
      </c>
      <c r="C567" s="23">
        <v>31</v>
      </c>
      <c r="D567" s="224"/>
      <c r="E567" s="224">
        <v>699847</v>
      </c>
      <c r="F567" s="224"/>
      <c r="G567" s="224">
        <v>201543</v>
      </c>
      <c r="H567" s="224">
        <v>5000</v>
      </c>
      <c r="I567" s="224"/>
      <c r="J567" s="224">
        <v>500</v>
      </c>
      <c r="K567" s="224"/>
    </row>
    <row r="568" spans="1:11">
      <c r="A568" s="23" t="s">
        <v>515</v>
      </c>
      <c r="B568" s="23">
        <v>21</v>
      </c>
      <c r="C568" s="23">
        <v>32</v>
      </c>
      <c r="D568" s="224"/>
      <c r="E568" s="224"/>
      <c r="F568" s="224"/>
      <c r="G568" s="224"/>
      <c r="H568" s="224">
        <v>125000</v>
      </c>
      <c r="I568" s="224">
        <v>5000</v>
      </c>
      <c r="J568" s="224"/>
      <c r="K568" s="224"/>
    </row>
    <row r="569" spans="1:11">
      <c r="A569" s="23" t="s">
        <v>515</v>
      </c>
      <c r="B569" s="23">
        <v>21</v>
      </c>
      <c r="C569" s="23">
        <v>34</v>
      </c>
      <c r="D569" s="224"/>
      <c r="E569" s="224">
        <v>377624</v>
      </c>
      <c r="F569" s="224"/>
      <c r="G569" s="224">
        <v>87610</v>
      </c>
      <c r="H569" s="224"/>
      <c r="I569" s="224"/>
      <c r="J569" s="224"/>
      <c r="K569" s="224"/>
    </row>
    <row r="570" spans="1:11">
      <c r="A570" s="23" t="s">
        <v>515</v>
      </c>
      <c r="B570" s="23">
        <v>23</v>
      </c>
      <c r="C570" s="23">
        <v>27</v>
      </c>
      <c r="D570" s="224"/>
      <c r="E570" s="224"/>
      <c r="F570" s="224">
        <v>537866</v>
      </c>
      <c r="G570" s="224">
        <v>371629</v>
      </c>
      <c r="H570" s="224"/>
      <c r="I570" s="224"/>
      <c r="J570" s="224"/>
      <c r="K570" s="224"/>
    </row>
    <row r="571" spans="1:11">
      <c r="A571" s="23" t="s">
        <v>515</v>
      </c>
      <c r="B571" s="23">
        <v>24</v>
      </c>
      <c r="C571" s="23">
        <v>25</v>
      </c>
      <c r="D571" s="224"/>
      <c r="E571" s="224"/>
      <c r="F571" s="224">
        <v>3557</v>
      </c>
      <c r="G571" s="224">
        <v>1404</v>
      </c>
      <c r="H571" s="224"/>
      <c r="I571" s="224"/>
      <c r="J571" s="224"/>
      <c r="K571" s="224"/>
    </row>
    <row r="572" spans="1:11">
      <c r="A572" s="23" t="s">
        <v>515</v>
      </c>
      <c r="B572" s="23">
        <v>24</v>
      </c>
      <c r="C572" s="23">
        <v>27</v>
      </c>
      <c r="D572" s="224"/>
      <c r="E572" s="224"/>
      <c r="F572" s="224">
        <v>3807212</v>
      </c>
      <c r="G572" s="224">
        <v>2643501</v>
      </c>
      <c r="H572" s="224"/>
      <c r="I572" s="224"/>
      <c r="J572" s="224"/>
      <c r="K572" s="224"/>
    </row>
    <row r="573" spans="1:11">
      <c r="A573" s="23" t="s">
        <v>516</v>
      </c>
      <c r="B573" s="23">
        <v>21</v>
      </c>
      <c r="C573" s="23">
        <v>21</v>
      </c>
      <c r="D573" s="224"/>
      <c r="E573" s="224">
        <v>10080</v>
      </c>
      <c r="F573" s="224"/>
      <c r="G573" s="224">
        <v>4268</v>
      </c>
      <c r="H573" s="224"/>
      <c r="I573" s="224"/>
      <c r="J573" s="224"/>
      <c r="K573" s="224"/>
    </row>
    <row r="574" spans="1:11">
      <c r="A574" s="23" t="s">
        <v>516</v>
      </c>
      <c r="B574" s="23">
        <v>21</v>
      </c>
      <c r="C574" s="23">
        <v>26</v>
      </c>
      <c r="D574" s="224"/>
      <c r="E574" s="224"/>
      <c r="F574" s="224"/>
      <c r="G574" s="224"/>
      <c r="H574" s="224"/>
      <c r="I574" s="224">
        <v>6067</v>
      </c>
      <c r="J574" s="224"/>
      <c r="K574" s="224"/>
    </row>
    <row r="575" spans="1:11">
      <c r="A575" s="23" t="s">
        <v>516</v>
      </c>
      <c r="B575" s="23">
        <v>21</v>
      </c>
      <c r="C575" s="23">
        <v>27</v>
      </c>
      <c r="D575" s="224"/>
      <c r="E575" s="224">
        <v>5676</v>
      </c>
      <c r="F575" s="224">
        <v>3941</v>
      </c>
      <c r="G575" s="224">
        <v>4715</v>
      </c>
      <c r="H575" s="224"/>
      <c r="I575" s="224"/>
      <c r="J575" s="224"/>
      <c r="K575" s="224"/>
    </row>
    <row r="576" spans="1:11">
      <c r="A576" s="23" t="s">
        <v>516</v>
      </c>
      <c r="B576" s="23">
        <v>21</v>
      </c>
      <c r="C576" s="23">
        <v>31</v>
      </c>
      <c r="D576" s="224"/>
      <c r="E576" s="224"/>
      <c r="F576" s="224"/>
      <c r="G576" s="224"/>
      <c r="H576" s="224"/>
      <c r="I576" s="224"/>
      <c r="J576" s="224">
        <v>150</v>
      </c>
      <c r="K576" s="224"/>
    </row>
    <row r="577" spans="1:11">
      <c r="A577" s="23" t="s">
        <v>516</v>
      </c>
      <c r="B577" s="23">
        <v>24</v>
      </c>
      <c r="C577" s="23">
        <v>26</v>
      </c>
      <c r="D577" s="224"/>
      <c r="E577" s="224"/>
      <c r="F577" s="224"/>
      <c r="G577" s="224"/>
      <c r="H577" s="224"/>
      <c r="I577" s="224">
        <v>14605</v>
      </c>
      <c r="J577" s="224"/>
      <c r="K577" s="224"/>
    </row>
    <row r="578" spans="1:11">
      <c r="A578" s="23" t="s">
        <v>517</v>
      </c>
      <c r="B578" s="23">
        <v>21</v>
      </c>
      <c r="C578" s="23">
        <v>21</v>
      </c>
      <c r="D578" s="224">
        <v>50</v>
      </c>
      <c r="E578" s="224">
        <v>618605</v>
      </c>
      <c r="F578" s="224">
        <v>401901</v>
      </c>
      <c r="G578" s="224">
        <v>341079</v>
      </c>
      <c r="H578" s="224">
        <v>6500</v>
      </c>
      <c r="I578" s="224">
        <v>7700</v>
      </c>
      <c r="J578" s="224">
        <v>4000</v>
      </c>
      <c r="K578" s="224"/>
    </row>
    <row r="579" spans="1:11">
      <c r="A579" s="23" t="s">
        <v>517</v>
      </c>
      <c r="B579" s="23">
        <v>21</v>
      </c>
      <c r="C579" s="23">
        <v>26</v>
      </c>
      <c r="D579" s="224">
        <v>50</v>
      </c>
      <c r="E579" s="224">
        <v>9303339</v>
      </c>
      <c r="F579" s="224">
        <v>777199</v>
      </c>
      <c r="G579" s="224">
        <v>3722930</v>
      </c>
      <c r="H579" s="224">
        <v>157500</v>
      </c>
      <c r="I579" s="224">
        <v>36700</v>
      </c>
      <c r="J579" s="224">
        <v>15500</v>
      </c>
      <c r="K579" s="224"/>
    </row>
    <row r="580" spans="1:11">
      <c r="A580" s="23" t="s">
        <v>517</v>
      </c>
      <c r="B580" s="23">
        <v>21</v>
      </c>
      <c r="C580" s="23">
        <v>27</v>
      </c>
      <c r="D580" s="224">
        <v>15800</v>
      </c>
      <c r="E580" s="224">
        <v>12614554</v>
      </c>
      <c r="F580" s="224">
        <v>9433300</v>
      </c>
      <c r="G580" s="224">
        <v>10311018</v>
      </c>
      <c r="H580" s="224">
        <v>53550</v>
      </c>
      <c r="I580" s="224">
        <v>6563480</v>
      </c>
      <c r="J580" s="224">
        <v>16600</v>
      </c>
      <c r="K580" s="224">
        <v>20000</v>
      </c>
    </row>
    <row r="581" spans="1:11">
      <c r="A581" s="23" t="s">
        <v>517</v>
      </c>
      <c r="B581" s="23">
        <v>21</v>
      </c>
      <c r="C581" s="23">
        <v>29</v>
      </c>
      <c r="D581" s="224"/>
      <c r="E581" s="224"/>
      <c r="F581" s="224"/>
      <c r="G581" s="224"/>
      <c r="H581" s="224"/>
      <c r="I581" s="224">
        <v>60000</v>
      </c>
      <c r="J581" s="224"/>
      <c r="K581" s="224"/>
    </row>
    <row r="582" spans="1:11">
      <c r="A582" s="23" t="s">
        <v>517</v>
      </c>
      <c r="B582" s="23">
        <v>21</v>
      </c>
      <c r="C582" s="23">
        <v>31</v>
      </c>
      <c r="D582" s="224"/>
      <c r="E582" s="224">
        <v>625400</v>
      </c>
      <c r="F582" s="224">
        <v>39500</v>
      </c>
      <c r="G582" s="224">
        <v>165355</v>
      </c>
      <c r="H582" s="224">
        <v>5000</v>
      </c>
      <c r="I582" s="224">
        <v>43050</v>
      </c>
      <c r="J582" s="224">
        <v>2000</v>
      </c>
      <c r="K582" s="224"/>
    </row>
    <row r="583" spans="1:11">
      <c r="A583" s="23" t="s">
        <v>517</v>
      </c>
      <c r="B583" s="23">
        <v>21</v>
      </c>
      <c r="C583" s="23">
        <v>32</v>
      </c>
      <c r="D583" s="224"/>
      <c r="E583" s="224"/>
      <c r="F583" s="224"/>
      <c r="G583" s="224"/>
      <c r="H583" s="224">
        <v>28200</v>
      </c>
      <c r="I583" s="224"/>
      <c r="J583" s="224"/>
      <c r="K583" s="224"/>
    </row>
    <row r="584" spans="1:11">
      <c r="A584" s="23" t="s">
        <v>517</v>
      </c>
      <c r="B584" s="23">
        <v>21</v>
      </c>
      <c r="C584" s="23">
        <v>33</v>
      </c>
      <c r="D584" s="224"/>
      <c r="E584" s="224"/>
      <c r="F584" s="224"/>
      <c r="G584" s="224"/>
      <c r="H584" s="224">
        <v>30500</v>
      </c>
      <c r="I584" s="224">
        <v>49300</v>
      </c>
      <c r="J584" s="224"/>
      <c r="K584" s="224"/>
    </row>
    <row r="585" spans="1:11">
      <c r="A585" s="23" t="s">
        <v>517</v>
      </c>
      <c r="B585" s="23">
        <v>21</v>
      </c>
      <c r="C585" s="23">
        <v>34</v>
      </c>
      <c r="D585" s="224"/>
      <c r="E585" s="224">
        <v>180000</v>
      </c>
      <c r="F585" s="224"/>
      <c r="G585" s="224">
        <v>41733</v>
      </c>
      <c r="H585" s="224"/>
      <c r="I585" s="224"/>
      <c r="J585" s="224"/>
      <c r="K585" s="224"/>
    </row>
    <row r="586" spans="1:11">
      <c r="A586" s="23" t="s">
        <v>517</v>
      </c>
      <c r="B586" s="23">
        <v>24</v>
      </c>
      <c r="C586" s="23">
        <v>27</v>
      </c>
      <c r="D586" s="224"/>
      <c r="E586" s="224">
        <v>3141400</v>
      </c>
      <c r="F586" s="224"/>
      <c r="G586" s="224">
        <v>1144760</v>
      </c>
      <c r="H586" s="224"/>
      <c r="I586" s="224"/>
      <c r="J586" s="224"/>
      <c r="K586" s="224"/>
    </row>
    <row r="587" spans="1:11">
      <c r="A587" s="23" t="s">
        <v>517</v>
      </c>
      <c r="B587" s="23">
        <v>24</v>
      </c>
      <c r="C587" s="23">
        <v>31</v>
      </c>
      <c r="D587" s="224"/>
      <c r="E587" s="224">
        <v>93653</v>
      </c>
      <c r="F587" s="224"/>
      <c r="G587" s="224">
        <v>21691</v>
      </c>
      <c r="H587" s="224"/>
      <c r="I587" s="224"/>
      <c r="J587" s="224"/>
      <c r="K587" s="224"/>
    </row>
    <row r="588" spans="1:11">
      <c r="A588" s="23" t="s">
        <v>420</v>
      </c>
      <c r="B588" s="23">
        <v>21</v>
      </c>
      <c r="C588" s="23">
        <v>21</v>
      </c>
      <c r="D588" s="224"/>
      <c r="E588" s="224">
        <v>169643</v>
      </c>
      <c r="F588" s="224">
        <v>156905</v>
      </c>
      <c r="G588" s="224">
        <v>129096</v>
      </c>
      <c r="H588" s="224">
        <v>4000</v>
      </c>
      <c r="I588" s="224">
        <v>27600</v>
      </c>
      <c r="J588" s="224">
        <v>300</v>
      </c>
      <c r="K588" s="224"/>
    </row>
    <row r="589" spans="1:11">
      <c r="A589" s="23" t="s">
        <v>420</v>
      </c>
      <c r="B589" s="23">
        <v>21</v>
      </c>
      <c r="C589" s="23">
        <v>25</v>
      </c>
      <c r="D589" s="224"/>
      <c r="E589" s="224"/>
      <c r="F589" s="224">
        <v>16215</v>
      </c>
      <c r="G589" s="224">
        <v>8487</v>
      </c>
      <c r="H589" s="224">
        <v>4000</v>
      </c>
      <c r="I589" s="224"/>
      <c r="J589" s="224"/>
      <c r="K589" s="224"/>
    </row>
    <row r="590" spans="1:11">
      <c r="A590" s="23" t="s">
        <v>420</v>
      </c>
      <c r="B590" s="23">
        <v>21</v>
      </c>
      <c r="C590" s="23">
        <v>26</v>
      </c>
      <c r="D590" s="224"/>
      <c r="E590" s="224">
        <v>1519861</v>
      </c>
      <c r="F590" s="224"/>
      <c r="G590" s="224">
        <v>581110</v>
      </c>
      <c r="H590" s="224">
        <v>20000</v>
      </c>
      <c r="I590" s="224">
        <v>100</v>
      </c>
      <c r="J590" s="224">
        <v>1000</v>
      </c>
      <c r="K590" s="224"/>
    </row>
    <row r="591" spans="1:11">
      <c r="A591" s="23" t="s">
        <v>420</v>
      </c>
      <c r="B591" s="23">
        <v>21</v>
      </c>
      <c r="C591" s="23">
        <v>27</v>
      </c>
      <c r="D591" s="224">
        <v>5000</v>
      </c>
      <c r="E591" s="224">
        <v>3200133</v>
      </c>
      <c r="F591" s="224">
        <v>1927658</v>
      </c>
      <c r="G591" s="224">
        <v>2453640</v>
      </c>
      <c r="H591" s="224">
        <v>58266</v>
      </c>
      <c r="I591" s="224">
        <v>817000</v>
      </c>
      <c r="J591" s="224">
        <v>2000</v>
      </c>
      <c r="K591" s="224"/>
    </row>
    <row r="592" spans="1:11">
      <c r="A592" s="23" t="s">
        <v>420</v>
      </c>
      <c r="B592" s="23">
        <v>21</v>
      </c>
      <c r="C592" s="23">
        <v>28</v>
      </c>
      <c r="D592" s="224"/>
      <c r="E592" s="224">
        <v>1500</v>
      </c>
      <c r="F592" s="224"/>
      <c r="G592" s="224">
        <v>300</v>
      </c>
      <c r="H592" s="224"/>
      <c r="I592" s="224"/>
      <c r="J592" s="224"/>
      <c r="K592" s="224"/>
    </row>
    <row r="593" spans="1:11">
      <c r="A593" s="23" t="s">
        <v>420</v>
      </c>
      <c r="B593" s="23">
        <v>21</v>
      </c>
      <c r="C593" s="23">
        <v>31</v>
      </c>
      <c r="D593" s="224"/>
      <c r="E593" s="224">
        <v>3000</v>
      </c>
      <c r="F593" s="224">
        <v>3000</v>
      </c>
      <c r="G593" s="224">
        <v>1200</v>
      </c>
      <c r="H593" s="224"/>
      <c r="I593" s="224">
        <v>22600</v>
      </c>
      <c r="J593" s="224">
        <v>1500</v>
      </c>
      <c r="K593" s="224"/>
    </row>
    <row r="594" spans="1:11">
      <c r="A594" s="23" t="s">
        <v>420</v>
      </c>
      <c r="B594" s="23">
        <v>21</v>
      </c>
      <c r="C594" s="23">
        <v>32</v>
      </c>
      <c r="D594" s="224"/>
      <c r="E594" s="224"/>
      <c r="F594" s="224"/>
      <c r="G594" s="224"/>
      <c r="H594" s="224">
        <v>5000</v>
      </c>
      <c r="I594" s="224"/>
      <c r="J594" s="224"/>
      <c r="K594" s="224"/>
    </row>
    <row r="595" spans="1:11">
      <c r="A595" s="23" t="s">
        <v>420</v>
      </c>
      <c r="B595" s="23">
        <v>21</v>
      </c>
      <c r="C595" s="23">
        <v>33</v>
      </c>
      <c r="D595" s="224"/>
      <c r="E595" s="224"/>
      <c r="F595" s="224"/>
      <c r="G595" s="224"/>
      <c r="H595" s="224">
        <v>23000</v>
      </c>
      <c r="I595" s="224">
        <v>6000</v>
      </c>
      <c r="J595" s="224"/>
      <c r="K595" s="224"/>
    </row>
    <row r="596" spans="1:11">
      <c r="A596" s="23" t="s">
        <v>420</v>
      </c>
      <c r="B596" s="23">
        <v>21</v>
      </c>
      <c r="C596" s="23">
        <v>34</v>
      </c>
      <c r="D596" s="224"/>
      <c r="E596" s="224">
        <v>74</v>
      </c>
      <c r="F596" s="224"/>
      <c r="G596" s="224">
        <v>16</v>
      </c>
      <c r="H596" s="224"/>
      <c r="I596" s="224"/>
      <c r="J596" s="224"/>
      <c r="K596" s="224"/>
    </row>
    <row r="597" spans="1:11">
      <c r="A597" s="23" t="s">
        <v>420</v>
      </c>
      <c r="B597" s="23">
        <v>24</v>
      </c>
      <c r="C597" s="23">
        <v>25</v>
      </c>
      <c r="D597" s="224"/>
      <c r="E597" s="224"/>
      <c r="F597" s="224">
        <v>2453</v>
      </c>
      <c r="G597" s="224">
        <v>1513</v>
      </c>
      <c r="H597" s="224"/>
      <c r="I597" s="224"/>
      <c r="J597" s="224"/>
      <c r="K597" s="224"/>
    </row>
    <row r="598" spans="1:11">
      <c r="A598" s="23" t="s">
        <v>420</v>
      </c>
      <c r="B598" s="23">
        <v>24</v>
      </c>
      <c r="C598" s="23">
        <v>27</v>
      </c>
      <c r="D598" s="224"/>
      <c r="E598" s="224"/>
      <c r="F598" s="224">
        <v>473914</v>
      </c>
      <c r="G598" s="224">
        <v>301377</v>
      </c>
      <c r="H598" s="224">
        <v>4581</v>
      </c>
      <c r="I598" s="224"/>
      <c r="J598" s="224"/>
      <c r="K598" s="224"/>
    </row>
    <row r="599" spans="1:11">
      <c r="A599" s="23" t="s">
        <v>420</v>
      </c>
      <c r="B599" s="23">
        <v>24</v>
      </c>
      <c r="C599" s="23">
        <v>31</v>
      </c>
      <c r="D599" s="224"/>
      <c r="E599" s="224"/>
      <c r="F599" s="224"/>
      <c r="G599" s="224"/>
      <c r="H599" s="224">
        <v>43921</v>
      </c>
      <c r="I599" s="224">
        <v>177180</v>
      </c>
      <c r="J599" s="224"/>
      <c r="K599" s="224"/>
    </row>
    <row r="600" spans="1:11">
      <c r="A600" s="23" t="s">
        <v>420</v>
      </c>
      <c r="B600" s="23">
        <v>29</v>
      </c>
      <c r="C600" s="23">
        <v>27</v>
      </c>
      <c r="D600" s="224"/>
      <c r="E600" s="224"/>
      <c r="F600" s="224">
        <v>55667</v>
      </c>
      <c r="G600" s="224">
        <v>37216</v>
      </c>
      <c r="H600" s="224"/>
      <c r="I600" s="224"/>
      <c r="J600" s="224"/>
      <c r="K600" s="224"/>
    </row>
    <row r="601" spans="1:11">
      <c r="A601" s="23" t="s">
        <v>422</v>
      </c>
      <c r="B601" s="23">
        <v>21</v>
      </c>
      <c r="C601" s="23">
        <v>21</v>
      </c>
      <c r="D601" s="224"/>
      <c r="E601" s="224">
        <v>282494</v>
      </c>
      <c r="F601" s="224">
        <v>72019</v>
      </c>
      <c r="G601" s="224">
        <v>108999</v>
      </c>
      <c r="H601" s="224">
        <v>2900</v>
      </c>
      <c r="I601" s="224">
        <v>16000</v>
      </c>
      <c r="J601" s="224"/>
      <c r="K601" s="224"/>
    </row>
    <row r="602" spans="1:11">
      <c r="A602" s="23" t="s">
        <v>422</v>
      </c>
      <c r="B602" s="23">
        <v>21</v>
      </c>
      <c r="C602" s="23">
        <v>25</v>
      </c>
      <c r="D602" s="224"/>
      <c r="E602" s="224"/>
      <c r="F602" s="224">
        <v>126370</v>
      </c>
      <c r="G602" s="224">
        <v>88057</v>
      </c>
      <c r="H602" s="224"/>
      <c r="I602" s="224"/>
      <c r="J602" s="224"/>
      <c r="K602" s="224"/>
    </row>
    <row r="603" spans="1:11">
      <c r="A603" s="23" t="s">
        <v>422</v>
      </c>
      <c r="B603" s="23">
        <v>21</v>
      </c>
      <c r="C603" s="23">
        <v>26</v>
      </c>
      <c r="D603" s="224"/>
      <c r="E603" s="224">
        <v>1445391</v>
      </c>
      <c r="F603" s="224">
        <v>52139</v>
      </c>
      <c r="G603" s="224">
        <v>523286</v>
      </c>
      <c r="H603" s="224">
        <v>29000</v>
      </c>
      <c r="I603" s="224">
        <v>52100</v>
      </c>
      <c r="J603" s="224">
        <v>250</v>
      </c>
      <c r="K603" s="224"/>
    </row>
    <row r="604" spans="1:11">
      <c r="A604" s="23" t="s">
        <v>422</v>
      </c>
      <c r="B604" s="23">
        <v>21</v>
      </c>
      <c r="C604" s="23">
        <v>27</v>
      </c>
      <c r="D604" s="224">
        <v>200</v>
      </c>
      <c r="E604" s="224">
        <v>2316905</v>
      </c>
      <c r="F604" s="224">
        <v>1365917</v>
      </c>
      <c r="G604" s="224">
        <v>1622742</v>
      </c>
      <c r="H604" s="224">
        <v>27000</v>
      </c>
      <c r="I604" s="224">
        <v>372519</v>
      </c>
      <c r="J604" s="224"/>
      <c r="K604" s="224"/>
    </row>
    <row r="605" spans="1:11">
      <c r="A605" s="23" t="s">
        <v>422</v>
      </c>
      <c r="B605" s="23">
        <v>21</v>
      </c>
      <c r="C605" s="23">
        <v>29</v>
      </c>
      <c r="D605" s="224"/>
      <c r="E605" s="224"/>
      <c r="F605" s="224"/>
      <c r="G605" s="224"/>
      <c r="H605" s="224"/>
      <c r="I605" s="224">
        <v>150000</v>
      </c>
      <c r="J605" s="224"/>
      <c r="K605" s="224"/>
    </row>
    <row r="606" spans="1:11">
      <c r="A606" s="23" t="s">
        <v>422</v>
      </c>
      <c r="B606" s="23">
        <v>21</v>
      </c>
      <c r="C606" s="23">
        <v>31</v>
      </c>
      <c r="D606" s="224"/>
      <c r="E606" s="224">
        <v>5502</v>
      </c>
      <c r="F606" s="224">
        <v>2018</v>
      </c>
      <c r="G606" s="224">
        <v>1602</v>
      </c>
      <c r="H606" s="224">
        <v>700</v>
      </c>
      <c r="I606" s="224">
        <v>5500</v>
      </c>
      <c r="J606" s="224">
        <v>1000</v>
      </c>
      <c r="K606" s="224"/>
    </row>
    <row r="607" spans="1:11">
      <c r="A607" s="23" t="s">
        <v>422</v>
      </c>
      <c r="B607" s="23">
        <v>21</v>
      </c>
      <c r="C607" s="23">
        <v>33</v>
      </c>
      <c r="D607" s="224"/>
      <c r="E607" s="224"/>
      <c r="F607" s="224"/>
      <c r="G607" s="224"/>
      <c r="H607" s="224">
        <v>15000</v>
      </c>
      <c r="I607" s="224"/>
      <c r="J607" s="224"/>
      <c r="K607" s="224"/>
    </row>
    <row r="608" spans="1:11">
      <c r="A608" s="23" t="s">
        <v>422</v>
      </c>
      <c r="B608" s="23">
        <v>23</v>
      </c>
      <c r="C608" s="23">
        <v>27</v>
      </c>
      <c r="D608" s="224"/>
      <c r="E608" s="224"/>
      <c r="F608" s="224">
        <v>30740</v>
      </c>
      <c r="G608" s="224">
        <v>18632</v>
      </c>
      <c r="H608" s="224"/>
      <c r="I608" s="224"/>
      <c r="J608" s="224"/>
      <c r="K608" s="224"/>
    </row>
    <row r="609" spans="1:11">
      <c r="A609" s="23" t="s">
        <v>422</v>
      </c>
      <c r="B609" s="23">
        <v>24</v>
      </c>
      <c r="C609" s="23">
        <v>27</v>
      </c>
      <c r="D609" s="224"/>
      <c r="E609" s="224">
        <v>284401</v>
      </c>
      <c r="F609" s="224">
        <v>243169</v>
      </c>
      <c r="G609" s="224">
        <v>247092</v>
      </c>
      <c r="H609" s="224">
        <v>210</v>
      </c>
      <c r="I609" s="224"/>
      <c r="J609" s="224"/>
      <c r="K609" s="224"/>
    </row>
    <row r="610" spans="1:11">
      <c r="A610" s="23" t="s">
        <v>424</v>
      </c>
      <c r="B610" s="23">
        <v>21</v>
      </c>
      <c r="C610" s="23">
        <v>21</v>
      </c>
      <c r="D610" s="224"/>
      <c r="E610" s="224">
        <v>70153</v>
      </c>
      <c r="F610" s="224">
        <v>14255</v>
      </c>
      <c r="G610" s="224">
        <v>33960</v>
      </c>
      <c r="H610" s="224"/>
      <c r="I610" s="224"/>
      <c r="J610" s="224"/>
      <c r="K610" s="224"/>
    </row>
    <row r="611" spans="1:11">
      <c r="A611" s="23" t="s">
        <v>424</v>
      </c>
      <c r="B611" s="23">
        <v>21</v>
      </c>
      <c r="C611" s="23">
        <v>26</v>
      </c>
      <c r="D611" s="224"/>
      <c r="E611" s="224">
        <v>96812</v>
      </c>
      <c r="F611" s="224">
        <v>18154</v>
      </c>
      <c r="G611" s="224">
        <v>50078</v>
      </c>
      <c r="H611" s="224"/>
      <c r="I611" s="224"/>
      <c r="J611" s="224"/>
      <c r="K611" s="224"/>
    </row>
    <row r="612" spans="1:11">
      <c r="A612" s="23" t="s">
        <v>424</v>
      </c>
      <c r="B612" s="23">
        <v>21</v>
      </c>
      <c r="C612" s="23">
        <v>27</v>
      </c>
      <c r="D612" s="224"/>
      <c r="E612" s="224">
        <v>381417</v>
      </c>
      <c r="F612" s="224">
        <v>128353</v>
      </c>
      <c r="G612" s="224">
        <v>233356</v>
      </c>
      <c r="H612" s="224"/>
      <c r="I612" s="224">
        <v>250000</v>
      </c>
      <c r="J612" s="224"/>
      <c r="K612" s="224"/>
    </row>
    <row r="613" spans="1:11">
      <c r="A613" s="23" t="s">
        <v>424</v>
      </c>
      <c r="B613" s="23">
        <v>24</v>
      </c>
      <c r="C613" s="23">
        <v>27</v>
      </c>
      <c r="D613" s="224"/>
      <c r="E613" s="224">
        <v>1000</v>
      </c>
      <c r="F613" s="224">
        <v>80360</v>
      </c>
      <c r="G613" s="224">
        <v>49783</v>
      </c>
      <c r="H613" s="224">
        <v>98541</v>
      </c>
      <c r="I613" s="224"/>
      <c r="J613" s="224"/>
      <c r="K613" s="224"/>
    </row>
    <row r="614" spans="1:11">
      <c r="A614" s="23" t="s">
        <v>426</v>
      </c>
      <c r="B614" s="23">
        <v>21</v>
      </c>
      <c r="C614" s="23">
        <v>21</v>
      </c>
      <c r="D614" s="224"/>
      <c r="E614" s="224">
        <v>398159</v>
      </c>
      <c r="F614" s="224">
        <v>129958</v>
      </c>
      <c r="G614" s="224">
        <v>175037</v>
      </c>
      <c r="H614" s="224">
        <v>11000</v>
      </c>
      <c r="I614" s="224">
        <v>4350</v>
      </c>
      <c r="J614" s="224">
        <v>8000</v>
      </c>
      <c r="K614" s="224"/>
    </row>
    <row r="615" spans="1:11">
      <c r="A615" s="23" t="s">
        <v>426</v>
      </c>
      <c r="B615" s="23">
        <v>21</v>
      </c>
      <c r="C615" s="23">
        <v>24</v>
      </c>
      <c r="D615" s="224"/>
      <c r="E615" s="224">
        <v>471757</v>
      </c>
      <c r="F615" s="224"/>
      <c r="G615" s="224">
        <v>173585</v>
      </c>
      <c r="H615" s="224"/>
      <c r="I615" s="224"/>
      <c r="J615" s="224"/>
      <c r="K615" s="224"/>
    </row>
    <row r="616" spans="1:11">
      <c r="A616" s="23" t="s">
        <v>426</v>
      </c>
      <c r="B616" s="23">
        <v>21</v>
      </c>
      <c r="C616" s="23">
        <v>26</v>
      </c>
      <c r="D616" s="224"/>
      <c r="E616" s="224">
        <v>3599378</v>
      </c>
      <c r="F616" s="224">
        <v>82781</v>
      </c>
      <c r="G616" s="224">
        <v>1366582</v>
      </c>
      <c r="H616" s="224">
        <v>33250</v>
      </c>
      <c r="I616" s="224">
        <v>260000</v>
      </c>
      <c r="J616" s="224">
        <v>3500</v>
      </c>
      <c r="K616" s="224"/>
    </row>
    <row r="617" spans="1:11">
      <c r="A617" s="23" t="s">
        <v>426</v>
      </c>
      <c r="B617" s="23">
        <v>21</v>
      </c>
      <c r="C617" s="23">
        <v>27</v>
      </c>
      <c r="D617" s="224"/>
      <c r="E617" s="224">
        <v>5112823</v>
      </c>
      <c r="F617" s="224">
        <v>3808951</v>
      </c>
      <c r="G617" s="224">
        <v>4324779</v>
      </c>
      <c r="H617" s="224">
        <v>157750</v>
      </c>
      <c r="I617" s="224">
        <v>145250</v>
      </c>
      <c r="J617" s="224">
        <v>600</v>
      </c>
      <c r="K617" s="224"/>
    </row>
    <row r="618" spans="1:11">
      <c r="A618" s="23" t="s">
        <v>426</v>
      </c>
      <c r="B618" s="23">
        <v>21</v>
      </c>
      <c r="C618" s="23">
        <v>31</v>
      </c>
      <c r="D618" s="224"/>
      <c r="E618" s="224">
        <v>767896</v>
      </c>
      <c r="F618" s="224"/>
      <c r="G618" s="224">
        <v>241590</v>
      </c>
      <c r="H618" s="224">
        <v>2500</v>
      </c>
      <c r="I618" s="224">
        <v>15000</v>
      </c>
      <c r="J618" s="224">
        <v>10000</v>
      </c>
      <c r="K618" s="224"/>
    </row>
    <row r="619" spans="1:11">
      <c r="A619" s="23" t="s">
        <v>426</v>
      </c>
      <c r="B619" s="23">
        <v>24</v>
      </c>
      <c r="C619" s="23">
        <v>26</v>
      </c>
      <c r="D619" s="224"/>
      <c r="E619" s="224">
        <v>5600</v>
      </c>
      <c r="F619" s="224"/>
      <c r="G619" s="224">
        <v>1288</v>
      </c>
      <c r="H619" s="224"/>
      <c r="I619" s="224">
        <v>825000</v>
      </c>
      <c r="J619" s="224"/>
      <c r="K619" s="224"/>
    </row>
    <row r="620" spans="1:11">
      <c r="A620" s="23" t="s">
        <v>426</v>
      </c>
      <c r="B620" s="23">
        <v>24</v>
      </c>
      <c r="C620" s="23">
        <v>27</v>
      </c>
      <c r="D620" s="224"/>
      <c r="E620" s="224"/>
      <c r="F620" s="224">
        <v>65536</v>
      </c>
      <c r="G620" s="224">
        <v>39733</v>
      </c>
      <c r="H620" s="224"/>
      <c r="I620" s="224">
        <v>1115000</v>
      </c>
      <c r="J620" s="224"/>
      <c r="K620" s="224"/>
    </row>
    <row r="621" spans="1:11">
      <c r="A621" s="23" t="s">
        <v>428</v>
      </c>
      <c r="B621" s="23">
        <v>21</v>
      </c>
      <c r="C621" s="23">
        <v>21</v>
      </c>
      <c r="D621" s="224"/>
      <c r="E621" s="224">
        <v>106266</v>
      </c>
      <c r="F621" s="224"/>
      <c r="G621" s="224">
        <v>36687</v>
      </c>
      <c r="H621" s="224">
        <v>10000</v>
      </c>
      <c r="I621" s="224"/>
      <c r="J621" s="224"/>
      <c r="K621" s="224"/>
    </row>
    <row r="622" spans="1:11">
      <c r="A622" s="23" t="s">
        <v>428</v>
      </c>
      <c r="B622" s="23">
        <v>21</v>
      </c>
      <c r="C622" s="23">
        <v>23</v>
      </c>
      <c r="D622" s="224"/>
      <c r="E622" s="224"/>
      <c r="F622" s="224">
        <v>26435</v>
      </c>
      <c r="G622" s="224">
        <v>15954</v>
      </c>
      <c r="H622" s="224"/>
      <c r="I622" s="224"/>
      <c r="J622" s="224"/>
      <c r="K622" s="224"/>
    </row>
    <row r="623" spans="1:11">
      <c r="A623" s="23" t="s">
        <v>428</v>
      </c>
      <c r="B623" s="23">
        <v>21</v>
      </c>
      <c r="C623" s="23">
        <v>26</v>
      </c>
      <c r="D623" s="224"/>
      <c r="E623" s="224">
        <v>62331</v>
      </c>
      <c r="F623" s="224"/>
      <c r="G623" s="224">
        <v>26732</v>
      </c>
      <c r="H623" s="224">
        <v>300</v>
      </c>
      <c r="I623" s="224">
        <v>150500</v>
      </c>
      <c r="J623" s="224"/>
      <c r="K623" s="224"/>
    </row>
    <row r="624" spans="1:11">
      <c r="A624" s="23" t="s">
        <v>428</v>
      </c>
      <c r="B624" s="23">
        <v>21</v>
      </c>
      <c r="C624" s="23">
        <v>27</v>
      </c>
      <c r="D624" s="224"/>
      <c r="E624" s="224">
        <v>363813</v>
      </c>
      <c r="F624" s="224">
        <v>217022</v>
      </c>
      <c r="G624" s="224">
        <v>331307</v>
      </c>
      <c r="H624" s="224">
        <v>1500</v>
      </c>
      <c r="I624" s="224">
        <v>2750</v>
      </c>
      <c r="J624" s="224"/>
      <c r="K624" s="224"/>
    </row>
    <row r="625" spans="1:11">
      <c r="A625" s="23" t="s">
        <v>428</v>
      </c>
      <c r="B625" s="23">
        <v>21</v>
      </c>
      <c r="C625" s="23">
        <v>31</v>
      </c>
      <c r="D625" s="224"/>
      <c r="E625" s="224"/>
      <c r="F625" s="224"/>
      <c r="G625" s="224"/>
      <c r="H625" s="224"/>
      <c r="I625" s="224">
        <v>500</v>
      </c>
      <c r="J625" s="224"/>
      <c r="K625" s="224"/>
    </row>
    <row r="626" spans="1:11">
      <c r="A626" s="23" t="s">
        <v>428</v>
      </c>
      <c r="B626" s="23">
        <v>21</v>
      </c>
      <c r="C626" s="23">
        <v>32</v>
      </c>
      <c r="D626" s="224"/>
      <c r="E626" s="224"/>
      <c r="F626" s="224"/>
      <c r="G626" s="224"/>
      <c r="H626" s="224"/>
      <c r="I626" s="224">
        <v>1500</v>
      </c>
      <c r="J626" s="224"/>
      <c r="K626" s="224"/>
    </row>
    <row r="627" spans="1:11">
      <c r="A627" s="23" t="s">
        <v>428</v>
      </c>
      <c r="B627" s="23">
        <v>24</v>
      </c>
      <c r="C627" s="23">
        <v>27</v>
      </c>
      <c r="D627" s="224"/>
      <c r="E627" s="224">
        <v>57973</v>
      </c>
      <c r="F627" s="224">
        <v>46066</v>
      </c>
      <c r="G627" s="224">
        <v>59355</v>
      </c>
      <c r="H627" s="224">
        <v>100</v>
      </c>
      <c r="I627" s="224"/>
      <c r="J627" s="224"/>
      <c r="K627" s="224"/>
    </row>
    <row r="628" spans="1:11">
      <c r="A628" s="23" t="s">
        <v>430</v>
      </c>
      <c r="B628" s="23">
        <v>21</v>
      </c>
      <c r="C628" s="23">
        <v>27</v>
      </c>
      <c r="D628" s="224"/>
      <c r="E628" s="224">
        <v>61522</v>
      </c>
      <c r="F628" s="224">
        <v>30867</v>
      </c>
      <c r="G628" s="224">
        <v>50006</v>
      </c>
      <c r="H628" s="224">
        <v>4000</v>
      </c>
      <c r="I628" s="224">
        <v>400</v>
      </c>
      <c r="J628" s="224">
        <v>2000</v>
      </c>
      <c r="K628" s="224"/>
    </row>
    <row r="629" spans="1:11">
      <c r="A629" s="23" t="s">
        <v>430</v>
      </c>
      <c r="B629" s="23">
        <v>24</v>
      </c>
      <c r="C629" s="23">
        <v>26</v>
      </c>
      <c r="D629" s="224"/>
      <c r="E629" s="224"/>
      <c r="F629" s="224"/>
      <c r="G629" s="224"/>
      <c r="H629" s="224"/>
      <c r="I629" s="224">
        <v>32116</v>
      </c>
      <c r="J629" s="224"/>
      <c r="K629" s="224"/>
    </row>
    <row r="630" spans="1:11">
      <c r="A630" s="23" t="s">
        <v>432</v>
      </c>
      <c r="B630" s="23">
        <v>21</v>
      </c>
      <c r="C630" s="23">
        <v>29</v>
      </c>
      <c r="D630" s="224"/>
      <c r="E630" s="224"/>
      <c r="F630" s="224"/>
      <c r="G630" s="224"/>
      <c r="H630" s="224"/>
      <c r="I630" s="224">
        <v>71108</v>
      </c>
      <c r="J630" s="224"/>
      <c r="K630" s="224"/>
    </row>
    <row r="631" spans="1:11">
      <c r="A631" s="23" t="s">
        <v>434</v>
      </c>
      <c r="B631" s="23">
        <v>21</v>
      </c>
      <c r="C631" s="23">
        <v>27</v>
      </c>
      <c r="D631" s="224"/>
      <c r="E631" s="224"/>
      <c r="F631" s="224"/>
      <c r="G631" s="224"/>
      <c r="H631" s="224"/>
      <c r="I631" s="224">
        <v>3420496</v>
      </c>
      <c r="J631" s="224"/>
      <c r="K631" s="224"/>
    </row>
    <row r="632" spans="1:11">
      <c r="A632" s="23" t="s">
        <v>436</v>
      </c>
      <c r="B632" s="23">
        <v>21</v>
      </c>
      <c r="C632" s="23">
        <v>21</v>
      </c>
      <c r="D632" s="224"/>
      <c r="E632" s="224">
        <v>58575</v>
      </c>
      <c r="F632" s="224"/>
      <c r="G632" s="224">
        <v>23496</v>
      </c>
      <c r="H632" s="224">
        <v>125</v>
      </c>
      <c r="I632" s="224"/>
      <c r="J632" s="224">
        <v>800</v>
      </c>
      <c r="K632" s="224"/>
    </row>
    <row r="633" spans="1:11">
      <c r="A633" s="23" t="s">
        <v>436</v>
      </c>
      <c r="B633" s="23">
        <v>21</v>
      </c>
      <c r="C633" s="23">
        <v>26</v>
      </c>
      <c r="D633" s="224"/>
      <c r="E633" s="224"/>
      <c r="F633" s="224"/>
      <c r="G633" s="224"/>
      <c r="H633" s="224">
        <v>700</v>
      </c>
      <c r="I633" s="224">
        <v>258000</v>
      </c>
      <c r="J633" s="224"/>
      <c r="K633" s="224"/>
    </row>
    <row r="634" spans="1:11">
      <c r="A634" s="23" t="s">
        <v>436</v>
      </c>
      <c r="B634" s="23">
        <v>21</v>
      </c>
      <c r="C634" s="23">
        <v>27</v>
      </c>
      <c r="D634" s="224"/>
      <c r="E634" s="224">
        <v>119666</v>
      </c>
      <c r="F634" s="224">
        <v>435305</v>
      </c>
      <c r="G634" s="224">
        <v>331030</v>
      </c>
      <c r="H634" s="224">
        <v>4000</v>
      </c>
      <c r="I634" s="224"/>
      <c r="J634" s="224"/>
      <c r="K634" s="224"/>
    </row>
    <row r="635" spans="1:11">
      <c r="A635" s="23" t="s">
        <v>436</v>
      </c>
      <c r="B635" s="23">
        <v>21</v>
      </c>
      <c r="C635" s="23">
        <v>28</v>
      </c>
      <c r="D635" s="224"/>
      <c r="E635" s="224"/>
      <c r="F635" s="224">
        <v>7635</v>
      </c>
      <c r="G635" s="224">
        <v>2176</v>
      </c>
      <c r="H635" s="224"/>
      <c r="I635" s="224"/>
      <c r="J635" s="224"/>
      <c r="K635" s="224"/>
    </row>
    <row r="636" spans="1:11">
      <c r="A636" s="23" t="s">
        <v>436</v>
      </c>
      <c r="B636" s="23">
        <v>21</v>
      </c>
      <c r="C636" s="23">
        <v>31</v>
      </c>
      <c r="D636" s="224"/>
      <c r="E636" s="224">
        <v>1488</v>
      </c>
      <c r="F636" s="224"/>
      <c r="G636" s="224">
        <v>346</v>
      </c>
      <c r="H636" s="224"/>
      <c r="I636" s="224">
        <v>1500</v>
      </c>
      <c r="J636" s="224">
        <v>600</v>
      </c>
      <c r="K636" s="224"/>
    </row>
    <row r="637" spans="1:11">
      <c r="A637" s="23" t="s">
        <v>436</v>
      </c>
      <c r="B637" s="23">
        <v>21</v>
      </c>
      <c r="C637" s="23">
        <v>34</v>
      </c>
      <c r="D637" s="224"/>
      <c r="E637" s="224">
        <v>1488</v>
      </c>
      <c r="F637" s="224"/>
      <c r="G637" s="224">
        <v>346</v>
      </c>
      <c r="H637" s="224"/>
      <c r="I637" s="224"/>
      <c r="J637" s="224"/>
      <c r="K637" s="224"/>
    </row>
    <row r="638" spans="1:11">
      <c r="A638" s="23" t="s">
        <v>436</v>
      </c>
      <c r="B638" s="23">
        <v>24</v>
      </c>
      <c r="C638" s="23">
        <v>26</v>
      </c>
      <c r="D638" s="224"/>
      <c r="E638" s="224"/>
      <c r="F638" s="224"/>
      <c r="G638" s="224"/>
      <c r="H638" s="224"/>
      <c r="I638" s="224">
        <v>5797</v>
      </c>
      <c r="J638" s="224"/>
      <c r="K638" s="224"/>
    </row>
    <row r="639" spans="1:11">
      <c r="A639" s="23" t="s">
        <v>436</v>
      </c>
      <c r="B639" s="23">
        <v>24</v>
      </c>
      <c r="C639" s="23">
        <v>27</v>
      </c>
      <c r="D639" s="224"/>
      <c r="E639" s="224">
        <v>115887</v>
      </c>
      <c r="F639" s="224"/>
      <c r="G639" s="224">
        <v>47912</v>
      </c>
      <c r="H639" s="224"/>
      <c r="I639" s="224"/>
      <c r="J639" s="224"/>
      <c r="K639" s="224"/>
    </row>
    <row r="640" spans="1:11">
      <c r="A640" s="23" t="s">
        <v>436</v>
      </c>
      <c r="B640" s="23">
        <v>29</v>
      </c>
      <c r="C640" s="23">
        <v>21</v>
      </c>
      <c r="D640" s="224"/>
      <c r="E640" s="224">
        <v>12144</v>
      </c>
      <c r="F640" s="224"/>
      <c r="G640" s="224">
        <v>5299</v>
      </c>
      <c r="H640" s="224"/>
      <c r="I640" s="224"/>
      <c r="J640" s="224"/>
      <c r="K640" s="224"/>
    </row>
    <row r="641" spans="1:11">
      <c r="A641" s="23" t="s">
        <v>436</v>
      </c>
      <c r="B641" s="23">
        <v>29</v>
      </c>
      <c r="C641" s="23">
        <v>26</v>
      </c>
      <c r="D641" s="224"/>
      <c r="E641" s="224"/>
      <c r="F641" s="224"/>
      <c r="G641" s="224"/>
      <c r="H641" s="224"/>
      <c r="I641" s="224">
        <v>5639</v>
      </c>
      <c r="J641" s="224"/>
      <c r="K641" s="224"/>
    </row>
    <row r="642" spans="1:11">
      <c r="A642" s="23" t="s">
        <v>219</v>
      </c>
      <c r="B642" s="23">
        <v>21</v>
      </c>
      <c r="C642" s="23">
        <v>21</v>
      </c>
      <c r="D642" s="224"/>
      <c r="E642" s="224">
        <v>147610</v>
      </c>
      <c r="F642" s="224">
        <v>48849</v>
      </c>
      <c r="G642" s="224">
        <v>66050</v>
      </c>
      <c r="H642" s="224">
        <v>4000</v>
      </c>
      <c r="I642" s="224">
        <v>2120</v>
      </c>
      <c r="J642" s="224">
        <v>2000</v>
      </c>
      <c r="K642" s="224"/>
    </row>
    <row r="643" spans="1:11">
      <c r="A643" s="23" t="s">
        <v>219</v>
      </c>
      <c r="B643" s="23">
        <v>21</v>
      </c>
      <c r="C643" s="23">
        <v>26</v>
      </c>
      <c r="D643" s="224"/>
      <c r="E643" s="224">
        <v>203541</v>
      </c>
      <c r="F643" s="224">
        <v>302289</v>
      </c>
      <c r="G643" s="224">
        <v>236474</v>
      </c>
      <c r="H643" s="224">
        <v>6000</v>
      </c>
      <c r="I643" s="224">
        <v>1066784</v>
      </c>
      <c r="J643" s="224">
        <v>1000</v>
      </c>
      <c r="K643" s="224"/>
    </row>
    <row r="644" spans="1:11">
      <c r="A644" s="23" t="s">
        <v>219</v>
      </c>
      <c r="B644" s="23">
        <v>21</v>
      </c>
      <c r="C644" s="23">
        <v>27</v>
      </c>
      <c r="D644" s="224">
        <v>1500</v>
      </c>
      <c r="E644" s="224">
        <v>1469665</v>
      </c>
      <c r="F644" s="224">
        <v>922269</v>
      </c>
      <c r="G644" s="224">
        <v>1159338</v>
      </c>
      <c r="H644" s="224"/>
      <c r="I644" s="224">
        <v>647280</v>
      </c>
      <c r="J644" s="224">
        <v>22900</v>
      </c>
      <c r="K644" s="224"/>
    </row>
    <row r="645" spans="1:11">
      <c r="A645" s="23" t="s">
        <v>219</v>
      </c>
      <c r="B645" s="23">
        <v>21</v>
      </c>
      <c r="C645" s="23">
        <v>31</v>
      </c>
      <c r="D645" s="224"/>
      <c r="E645" s="224">
        <v>39239</v>
      </c>
      <c r="F645" s="224">
        <v>5000</v>
      </c>
      <c r="G645" s="224">
        <v>9696</v>
      </c>
      <c r="H645" s="224"/>
      <c r="I645" s="224">
        <v>200</v>
      </c>
      <c r="J645" s="224"/>
      <c r="K645" s="224"/>
    </row>
    <row r="646" spans="1:11">
      <c r="A646" s="23" t="s">
        <v>219</v>
      </c>
      <c r="B646" s="23">
        <v>21</v>
      </c>
      <c r="C646" s="23">
        <v>32</v>
      </c>
      <c r="D646" s="224"/>
      <c r="E646" s="224"/>
      <c r="F646" s="224"/>
      <c r="G646" s="224"/>
      <c r="H646" s="224"/>
      <c r="I646" s="224">
        <v>1300</v>
      </c>
      <c r="J646" s="224"/>
      <c r="K646" s="224"/>
    </row>
    <row r="647" spans="1:11">
      <c r="A647" s="23" t="s">
        <v>219</v>
      </c>
      <c r="B647" s="23">
        <v>21</v>
      </c>
      <c r="C647" s="23">
        <v>34</v>
      </c>
      <c r="D647" s="224"/>
      <c r="E647" s="224">
        <v>24030</v>
      </c>
      <c r="F647" s="224"/>
      <c r="G647" s="224">
        <v>5567</v>
      </c>
      <c r="H647" s="224"/>
      <c r="I647" s="224"/>
      <c r="J647" s="224"/>
      <c r="K647" s="224"/>
    </row>
    <row r="648" spans="1:11">
      <c r="A648" s="23" t="s">
        <v>219</v>
      </c>
      <c r="B648" s="23">
        <v>23</v>
      </c>
      <c r="C648" s="23">
        <v>21</v>
      </c>
      <c r="D648" s="224"/>
      <c r="E648" s="224"/>
      <c r="F648" s="224">
        <v>30681</v>
      </c>
      <c r="G648" s="224">
        <v>15715</v>
      </c>
      <c r="H648" s="224"/>
      <c r="I648" s="224"/>
      <c r="J648" s="224"/>
      <c r="K648" s="224"/>
    </row>
    <row r="649" spans="1:11">
      <c r="A649" s="23" t="s">
        <v>219</v>
      </c>
      <c r="B649" s="23">
        <v>23</v>
      </c>
      <c r="C649" s="23">
        <v>26</v>
      </c>
      <c r="D649" s="224"/>
      <c r="E649" s="224"/>
      <c r="F649" s="224"/>
      <c r="G649" s="224"/>
      <c r="H649" s="224"/>
      <c r="I649" s="224">
        <v>14894</v>
      </c>
      <c r="J649" s="224"/>
      <c r="K649" s="224"/>
    </row>
    <row r="650" spans="1:11">
      <c r="A650" s="23" t="s">
        <v>219</v>
      </c>
      <c r="B650" s="23">
        <v>23</v>
      </c>
      <c r="C650" s="23">
        <v>27</v>
      </c>
      <c r="D650" s="224"/>
      <c r="E650" s="224"/>
      <c r="F650" s="224">
        <v>29646</v>
      </c>
      <c r="G650" s="224">
        <v>18612</v>
      </c>
      <c r="H650" s="224"/>
      <c r="I650" s="224">
        <v>83228</v>
      </c>
      <c r="J650" s="224"/>
      <c r="K650" s="224"/>
    </row>
    <row r="651" spans="1:11">
      <c r="A651" s="23" t="s">
        <v>219</v>
      </c>
      <c r="B651" s="23">
        <v>24</v>
      </c>
      <c r="C651" s="23">
        <v>27</v>
      </c>
      <c r="D651" s="224"/>
      <c r="E651" s="224"/>
      <c r="F651" s="224">
        <v>433553</v>
      </c>
      <c r="G651" s="224">
        <v>262301</v>
      </c>
      <c r="H651" s="224">
        <v>3700</v>
      </c>
      <c r="I651" s="224">
        <v>1577</v>
      </c>
      <c r="J651" s="224"/>
      <c r="K651" s="224"/>
    </row>
    <row r="652" spans="1:11">
      <c r="A652" s="23" t="s">
        <v>221</v>
      </c>
      <c r="B652" s="23">
        <v>21</v>
      </c>
      <c r="C652" s="23">
        <v>21</v>
      </c>
      <c r="D652" s="224"/>
      <c r="E652" s="224">
        <v>133660</v>
      </c>
      <c r="F652" s="224">
        <v>30105</v>
      </c>
      <c r="G652" s="224">
        <v>56205</v>
      </c>
      <c r="H652" s="224">
        <v>2500</v>
      </c>
      <c r="I652" s="224"/>
      <c r="J652" s="224"/>
      <c r="K652" s="224"/>
    </row>
    <row r="653" spans="1:11">
      <c r="A653" s="23" t="s">
        <v>221</v>
      </c>
      <c r="B653" s="23">
        <v>21</v>
      </c>
      <c r="C653" s="23">
        <v>24</v>
      </c>
      <c r="D653" s="224"/>
      <c r="E653" s="224"/>
      <c r="F653" s="224">
        <v>8826</v>
      </c>
      <c r="G653" s="224">
        <v>4925</v>
      </c>
      <c r="H653" s="224"/>
      <c r="I653" s="224"/>
      <c r="J653" s="224"/>
      <c r="K653" s="224"/>
    </row>
    <row r="654" spans="1:11">
      <c r="A654" s="23" t="s">
        <v>221</v>
      </c>
      <c r="B654" s="23">
        <v>21</v>
      </c>
      <c r="C654" s="23">
        <v>26</v>
      </c>
      <c r="D654" s="224"/>
      <c r="E654" s="224">
        <v>169404</v>
      </c>
      <c r="F654" s="224">
        <v>131902</v>
      </c>
      <c r="G654" s="224">
        <v>129983</v>
      </c>
      <c r="H654" s="224"/>
      <c r="I654" s="224">
        <v>121790</v>
      </c>
      <c r="J654" s="224"/>
      <c r="K654" s="224"/>
    </row>
    <row r="655" spans="1:11">
      <c r="A655" s="23" t="s">
        <v>221</v>
      </c>
      <c r="B655" s="23">
        <v>21</v>
      </c>
      <c r="C655" s="23">
        <v>27</v>
      </c>
      <c r="D655" s="224"/>
      <c r="E655" s="224">
        <v>650069</v>
      </c>
      <c r="F655" s="224">
        <v>149978</v>
      </c>
      <c r="G655" s="224">
        <v>347113</v>
      </c>
      <c r="H655" s="224">
        <v>27500</v>
      </c>
      <c r="I655" s="224"/>
      <c r="J655" s="224"/>
      <c r="K655" s="224"/>
    </row>
    <row r="656" spans="1:11">
      <c r="A656" s="23" t="s">
        <v>221</v>
      </c>
      <c r="B656" s="23">
        <v>24</v>
      </c>
      <c r="C656" s="23">
        <v>27</v>
      </c>
      <c r="D656" s="224"/>
      <c r="E656" s="224"/>
      <c r="F656" s="224">
        <v>166923</v>
      </c>
      <c r="G656" s="224">
        <v>111165</v>
      </c>
      <c r="H656" s="224">
        <v>21525</v>
      </c>
      <c r="I656" s="224"/>
      <c r="J656" s="224"/>
      <c r="K656" s="224"/>
    </row>
    <row r="657" spans="1:11">
      <c r="A657" s="23" t="s">
        <v>313</v>
      </c>
      <c r="B657" s="23">
        <v>21</v>
      </c>
      <c r="C657" s="23">
        <v>21</v>
      </c>
      <c r="D657" s="224"/>
      <c r="E657" s="224">
        <v>165514</v>
      </c>
      <c r="F657" s="224">
        <v>85038</v>
      </c>
      <c r="G657" s="224">
        <v>83137</v>
      </c>
      <c r="H657" s="224"/>
      <c r="I657" s="224"/>
      <c r="J657" s="224"/>
      <c r="K657" s="224"/>
    </row>
    <row r="658" spans="1:11">
      <c r="A658" s="23" t="s">
        <v>313</v>
      </c>
      <c r="B658" s="23">
        <v>21</v>
      </c>
      <c r="C658" s="23">
        <v>24</v>
      </c>
      <c r="D658" s="224"/>
      <c r="E658" s="224"/>
      <c r="F658" s="224"/>
      <c r="G658" s="224"/>
      <c r="H658" s="224">
        <v>5000</v>
      </c>
      <c r="I658" s="224">
        <v>10000</v>
      </c>
      <c r="J658" s="224"/>
      <c r="K658" s="224"/>
    </row>
    <row r="659" spans="1:11">
      <c r="A659" s="23" t="s">
        <v>313</v>
      </c>
      <c r="B659" s="23">
        <v>21</v>
      </c>
      <c r="C659" s="23">
        <v>25</v>
      </c>
      <c r="D659" s="224"/>
      <c r="E659" s="224"/>
      <c r="F659" s="224">
        <v>78043</v>
      </c>
      <c r="G659" s="224">
        <v>37598</v>
      </c>
      <c r="H659" s="224"/>
      <c r="I659" s="224"/>
      <c r="J659" s="224"/>
      <c r="K659" s="224"/>
    </row>
    <row r="660" spans="1:11">
      <c r="A660" s="23" t="s">
        <v>313</v>
      </c>
      <c r="B660" s="23">
        <v>21</v>
      </c>
      <c r="C660" s="23">
        <v>26</v>
      </c>
      <c r="D660" s="224"/>
      <c r="E660" s="224">
        <v>223755</v>
      </c>
      <c r="F660" s="224">
        <v>228653</v>
      </c>
      <c r="G660" s="224">
        <v>191811</v>
      </c>
      <c r="H660" s="224"/>
      <c r="I660" s="224">
        <v>60000</v>
      </c>
      <c r="J660" s="224"/>
      <c r="K660" s="224"/>
    </row>
    <row r="661" spans="1:11">
      <c r="A661" s="23" t="s">
        <v>313</v>
      </c>
      <c r="B661" s="23">
        <v>21</v>
      </c>
      <c r="C661" s="23">
        <v>27</v>
      </c>
      <c r="D661" s="224"/>
      <c r="E661" s="224">
        <v>1815890</v>
      </c>
      <c r="F661" s="224">
        <v>1287906</v>
      </c>
      <c r="G661" s="224">
        <v>1478757</v>
      </c>
      <c r="H661" s="224"/>
      <c r="I661" s="224"/>
      <c r="J661" s="224"/>
      <c r="K661" s="224"/>
    </row>
    <row r="662" spans="1:11">
      <c r="A662" s="23" t="s">
        <v>313</v>
      </c>
      <c r="B662" s="23">
        <v>21</v>
      </c>
      <c r="C662" s="23">
        <v>29</v>
      </c>
      <c r="D662" s="224"/>
      <c r="E662" s="224"/>
      <c r="F662" s="224"/>
      <c r="G662" s="224"/>
      <c r="H662" s="224"/>
      <c r="I662" s="224">
        <v>620000</v>
      </c>
      <c r="J662" s="224"/>
      <c r="K662" s="224"/>
    </row>
    <row r="663" spans="1:11">
      <c r="A663" s="23" t="s">
        <v>313</v>
      </c>
      <c r="B663" s="23">
        <v>24</v>
      </c>
      <c r="C663" s="23">
        <v>24</v>
      </c>
      <c r="D663" s="224"/>
      <c r="E663" s="224"/>
      <c r="F663" s="224"/>
      <c r="G663" s="224"/>
      <c r="H663" s="224"/>
      <c r="I663" s="224">
        <v>135000</v>
      </c>
      <c r="J663" s="224"/>
      <c r="K663" s="224"/>
    </row>
    <row r="664" spans="1:11">
      <c r="A664" s="23" t="s">
        <v>313</v>
      </c>
      <c r="B664" s="23">
        <v>24</v>
      </c>
      <c r="C664" s="23">
        <v>26</v>
      </c>
      <c r="D664" s="224"/>
      <c r="E664" s="224">
        <v>123182</v>
      </c>
      <c r="F664" s="224"/>
      <c r="G664" s="224">
        <v>40354</v>
      </c>
      <c r="H664" s="224"/>
      <c r="I664" s="224"/>
      <c r="J664" s="224"/>
      <c r="K664" s="224"/>
    </row>
    <row r="665" spans="1:11">
      <c r="A665" s="23" t="s">
        <v>313</v>
      </c>
      <c r="B665" s="23">
        <v>24</v>
      </c>
      <c r="C665" s="23">
        <v>27</v>
      </c>
      <c r="D665" s="224"/>
      <c r="E665" s="224">
        <v>39014</v>
      </c>
      <c r="F665" s="224">
        <v>17068</v>
      </c>
      <c r="G665" s="224">
        <v>27830</v>
      </c>
      <c r="H665" s="224"/>
      <c r="I665" s="224">
        <v>60000</v>
      </c>
      <c r="J665" s="224"/>
      <c r="K665" s="224"/>
    </row>
    <row r="666" spans="1:11">
      <c r="A666" s="23" t="s">
        <v>439</v>
      </c>
      <c r="B666" s="23">
        <v>21</v>
      </c>
      <c r="C666" s="23">
        <v>27</v>
      </c>
      <c r="D666" s="224"/>
      <c r="E666" s="224">
        <v>103752</v>
      </c>
      <c r="F666" s="224">
        <v>63634</v>
      </c>
      <c r="G666" s="224">
        <v>68600</v>
      </c>
      <c r="H666" s="224"/>
      <c r="I666" s="224"/>
      <c r="J666" s="224"/>
      <c r="K666" s="224"/>
    </row>
    <row r="667" spans="1:11">
      <c r="A667" s="23" t="s">
        <v>439</v>
      </c>
      <c r="B667" s="23">
        <v>21</v>
      </c>
      <c r="C667" s="23">
        <v>29</v>
      </c>
      <c r="D667" s="224"/>
      <c r="E667" s="224"/>
      <c r="F667" s="224"/>
      <c r="G667" s="224"/>
      <c r="H667" s="224"/>
      <c r="I667" s="224">
        <v>101829</v>
      </c>
      <c r="J667" s="224"/>
      <c r="K667" s="224"/>
    </row>
    <row r="668" spans="1:11">
      <c r="A668" s="23" t="s">
        <v>439</v>
      </c>
      <c r="B668" s="23">
        <v>21</v>
      </c>
      <c r="C668" s="23">
        <v>34</v>
      </c>
      <c r="D668" s="224"/>
      <c r="E668" s="224">
        <v>2306</v>
      </c>
      <c r="F668" s="224"/>
      <c r="G668" s="224">
        <v>516</v>
      </c>
      <c r="H668" s="224"/>
      <c r="I668" s="224"/>
      <c r="J668" s="224"/>
      <c r="K668" s="224"/>
    </row>
    <row r="669" spans="1:11">
      <c r="A669" s="23" t="s">
        <v>439</v>
      </c>
      <c r="B669" s="23">
        <v>24</v>
      </c>
      <c r="C669" s="23">
        <v>29</v>
      </c>
      <c r="D669" s="224"/>
      <c r="E669" s="224"/>
      <c r="F669" s="224"/>
      <c r="G669" s="224"/>
      <c r="H669" s="224"/>
      <c r="I669" s="224">
        <v>39171</v>
      </c>
      <c r="J669" s="224"/>
      <c r="K669" s="224"/>
    </row>
    <row r="670" spans="1:11">
      <c r="A670" s="23" t="s">
        <v>441</v>
      </c>
      <c r="B670" s="23">
        <v>21</v>
      </c>
      <c r="C670" s="23">
        <v>26</v>
      </c>
      <c r="D670" s="224"/>
      <c r="E670" s="224"/>
      <c r="F670" s="224"/>
      <c r="G670" s="224"/>
      <c r="H670" s="224"/>
      <c r="I670" s="224">
        <v>10000</v>
      </c>
      <c r="J670" s="224"/>
      <c r="K670" s="224"/>
    </row>
    <row r="671" spans="1:11">
      <c r="A671" s="23" t="s">
        <v>441</v>
      </c>
      <c r="B671" s="23">
        <v>21</v>
      </c>
      <c r="C671" s="23">
        <v>27</v>
      </c>
      <c r="D671" s="224"/>
      <c r="E671" s="224">
        <v>22828</v>
      </c>
      <c r="F671" s="224"/>
      <c r="G671" s="224">
        <v>5208</v>
      </c>
      <c r="H671" s="224">
        <v>5000</v>
      </c>
      <c r="I671" s="224"/>
      <c r="J671" s="224"/>
      <c r="K671" s="224"/>
    </row>
    <row r="672" spans="1:11">
      <c r="A672" s="23" t="s">
        <v>441</v>
      </c>
      <c r="B672" s="23">
        <v>24</v>
      </c>
      <c r="C672" s="23">
        <v>26</v>
      </c>
      <c r="D672" s="224"/>
      <c r="E672" s="224"/>
      <c r="F672" s="224"/>
      <c r="G672" s="224"/>
      <c r="H672" s="224"/>
      <c r="I672" s="224">
        <v>7418</v>
      </c>
      <c r="J672" s="224"/>
      <c r="K672" s="224"/>
    </row>
    <row r="673" spans="1:11">
      <c r="A673" s="23" t="s">
        <v>443</v>
      </c>
      <c r="B673" s="23">
        <v>21</v>
      </c>
      <c r="C673" s="23">
        <v>29</v>
      </c>
      <c r="D673" s="224"/>
      <c r="E673" s="224"/>
      <c r="F673" s="224"/>
      <c r="G673" s="224"/>
      <c r="H673" s="224"/>
      <c r="I673" s="224">
        <v>225127</v>
      </c>
      <c r="J673" s="224"/>
      <c r="K673" s="224"/>
    </row>
    <row r="674" spans="1:11">
      <c r="A674" s="23" t="s">
        <v>445</v>
      </c>
      <c r="B674" s="23">
        <v>21</v>
      </c>
      <c r="C674" s="23">
        <v>21</v>
      </c>
      <c r="D674" s="224"/>
      <c r="E674" s="224">
        <v>55530</v>
      </c>
      <c r="F674" s="224"/>
      <c r="G674" s="224">
        <v>18860</v>
      </c>
      <c r="H674" s="224">
        <v>50</v>
      </c>
      <c r="I674" s="224"/>
      <c r="J674" s="224"/>
      <c r="K674" s="224"/>
    </row>
    <row r="675" spans="1:11">
      <c r="A675" s="23" t="s">
        <v>445</v>
      </c>
      <c r="B675" s="23">
        <v>21</v>
      </c>
      <c r="C675" s="23">
        <v>23</v>
      </c>
      <c r="D675" s="224"/>
      <c r="E675" s="224"/>
      <c r="F675" s="224">
        <v>9623</v>
      </c>
      <c r="G675" s="224">
        <v>13290</v>
      </c>
      <c r="H675" s="224"/>
      <c r="I675" s="224"/>
      <c r="J675" s="224"/>
      <c r="K675" s="224"/>
    </row>
    <row r="676" spans="1:11">
      <c r="A676" s="23" t="s">
        <v>445</v>
      </c>
      <c r="B676" s="23">
        <v>21</v>
      </c>
      <c r="C676" s="23">
        <v>26</v>
      </c>
      <c r="D676" s="224"/>
      <c r="E676" s="224">
        <v>69655</v>
      </c>
      <c r="F676" s="224"/>
      <c r="G676" s="224">
        <v>28070</v>
      </c>
      <c r="H676" s="224">
        <v>400</v>
      </c>
      <c r="I676" s="224">
        <v>136000</v>
      </c>
      <c r="J676" s="224"/>
      <c r="K676" s="224"/>
    </row>
    <row r="677" spans="1:11">
      <c r="A677" s="23" t="s">
        <v>445</v>
      </c>
      <c r="B677" s="23">
        <v>21</v>
      </c>
      <c r="C677" s="23">
        <v>27</v>
      </c>
      <c r="D677" s="224">
        <v>10000</v>
      </c>
      <c r="E677" s="224">
        <v>258807</v>
      </c>
      <c r="F677" s="224">
        <v>202753</v>
      </c>
      <c r="G677" s="224">
        <v>218073</v>
      </c>
      <c r="H677" s="224">
        <v>199</v>
      </c>
      <c r="I677" s="224">
        <v>2200</v>
      </c>
      <c r="J677" s="224"/>
      <c r="K677" s="224"/>
    </row>
    <row r="678" spans="1:11">
      <c r="A678" s="23" t="s">
        <v>445</v>
      </c>
      <c r="B678" s="23">
        <v>21</v>
      </c>
      <c r="C678" s="23">
        <v>32</v>
      </c>
      <c r="D678" s="224"/>
      <c r="E678" s="224"/>
      <c r="F678" s="224"/>
      <c r="G678" s="224"/>
      <c r="H678" s="224">
        <v>250</v>
      </c>
      <c r="I678" s="224"/>
      <c r="J678" s="224"/>
      <c r="K678" s="224"/>
    </row>
    <row r="679" spans="1:11">
      <c r="A679" s="23" t="s">
        <v>445</v>
      </c>
      <c r="B679" s="23">
        <v>24</v>
      </c>
      <c r="C679" s="23">
        <v>26</v>
      </c>
      <c r="D679" s="224"/>
      <c r="E679" s="224">
        <v>49601</v>
      </c>
      <c r="F679" s="224"/>
      <c r="G679" s="224">
        <v>17345</v>
      </c>
      <c r="H679" s="224"/>
      <c r="I679" s="224">
        <v>8000</v>
      </c>
      <c r="J679" s="224"/>
      <c r="K679" s="224"/>
    </row>
    <row r="680" spans="1:11">
      <c r="A680" s="23" t="s">
        <v>445</v>
      </c>
      <c r="B680" s="23">
        <v>24</v>
      </c>
      <c r="C680" s="23">
        <v>27</v>
      </c>
      <c r="D680" s="224"/>
      <c r="E680" s="224"/>
      <c r="F680" s="224">
        <v>18969</v>
      </c>
      <c r="G680" s="224">
        <v>10988</v>
      </c>
      <c r="H680" s="224">
        <v>137</v>
      </c>
      <c r="I680" s="224"/>
      <c r="J680" s="224"/>
      <c r="K680" s="224"/>
    </row>
    <row r="681" spans="1:11">
      <c r="A681" s="23" t="s">
        <v>447</v>
      </c>
      <c r="B681" s="23">
        <v>21</v>
      </c>
      <c r="C681" s="23">
        <v>26</v>
      </c>
      <c r="D681" s="224"/>
      <c r="E681" s="224">
        <v>23936</v>
      </c>
      <c r="F681" s="224"/>
      <c r="G681" s="224">
        <v>5946</v>
      </c>
      <c r="H681" s="224"/>
      <c r="I681" s="224">
        <v>45000</v>
      </c>
      <c r="J681" s="224"/>
      <c r="K681" s="224"/>
    </row>
    <row r="682" spans="1:11">
      <c r="A682" s="23" t="s">
        <v>447</v>
      </c>
      <c r="B682" s="23">
        <v>21</v>
      </c>
      <c r="C682" s="23">
        <v>27</v>
      </c>
      <c r="D682" s="224"/>
      <c r="E682" s="224">
        <v>53118</v>
      </c>
      <c r="F682" s="224">
        <v>61423</v>
      </c>
      <c r="G682" s="224">
        <v>58551</v>
      </c>
      <c r="H682" s="224">
        <v>2200</v>
      </c>
      <c r="I682" s="224">
        <v>1350</v>
      </c>
      <c r="J682" s="224"/>
      <c r="K682" s="224"/>
    </row>
    <row r="683" spans="1:11">
      <c r="A683" s="23" t="s">
        <v>447</v>
      </c>
      <c r="B683" s="23">
        <v>21</v>
      </c>
      <c r="C683" s="23">
        <v>34</v>
      </c>
      <c r="D683" s="224"/>
      <c r="E683" s="224">
        <v>2300</v>
      </c>
      <c r="F683" s="224"/>
      <c r="G683" s="224">
        <v>573</v>
      </c>
      <c r="H683" s="224"/>
      <c r="I683" s="224"/>
      <c r="J683" s="224"/>
      <c r="K683" s="224"/>
    </row>
    <row r="684" spans="1:11">
      <c r="A684" s="23" t="s">
        <v>447</v>
      </c>
      <c r="B684" s="23">
        <v>24</v>
      </c>
      <c r="C684" s="23">
        <v>27</v>
      </c>
      <c r="D684" s="224"/>
      <c r="E684" s="224"/>
      <c r="F684" s="224">
        <v>15056</v>
      </c>
      <c r="G684" s="224">
        <v>8987</v>
      </c>
      <c r="H684" s="224">
        <v>2434</v>
      </c>
      <c r="I684" s="224"/>
      <c r="J684" s="224"/>
      <c r="K684" s="224"/>
    </row>
    <row r="685" spans="1:11">
      <c r="A685" s="23" t="s">
        <v>449</v>
      </c>
      <c r="B685" s="23">
        <v>21</v>
      </c>
      <c r="C685" s="23">
        <v>21</v>
      </c>
      <c r="D685" s="224"/>
      <c r="E685" s="224">
        <v>76532</v>
      </c>
      <c r="F685" s="224">
        <v>39328</v>
      </c>
      <c r="G685" s="224">
        <v>47205</v>
      </c>
      <c r="H685" s="224">
        <v>2400</v>
      </c>
      <c r="I685" s="224"/>
      <c r="J685" s="224">
        <v>275</v>
      </c>
      <c r="K685" s="224"/>
    </row>
    <row r="686" spans="1:11">
      <c r="A686" s="23" t="s">
        <v>449</v>
      </c>
      <c r="B686" s="23">
        <v>21</v>
      </c>
      <c r="C686" s="23">
        <v>24</v>
      </c>
      <c r="D686" s="224"/>
      <c r="E686" s="224"/>
      <c r="F686" s="224"/>
      <c r="G686" s="224"/>
      <c r="H686" s="224"/>
      <c r="I686" s="224"/>
      <c r="J686" s="224">
        <v>450</v>
      </c>
      <c r="K686" s="224"/>
    </row>
    <row r="687" spans="1:11">
      <c r="A687" s="23" t="s">
        <v>449</v>
      </c>
      <c r="B687" s="23">
        <v>21</v>
      </c>
      <c r="C687" s="23">
        <v>26</v>
      </c>
      <c r="D687" s="224"/>
      <c r="E687" s="224">
        <v>250842</v>
      </c>
      <c r="F687" s="224"/>
      <c r="G687" s="224">
        <v>96522</v>
      </c>
      <c r="H687" s="224">
        <v>3250</v>
      </c>
      <c r="I687" s="224">
        <v>36250</v>
      </c>
      <c r="J687" s="224">
        <v>150</v>
      </c>
      <c r="K687" s="224"/>
    </row>
    <row r="688" spans="1:11">
      <c r="A688" s="23" t="s">
        <v>449</v>
      </c>
      <c r="B688" s="23">
        <v>21</v>
      </c>
      <c r="C688" s="23">
        <v>27</v>
      </c>
      <c r="D688" s="224">
        <v>570</v>
      </c>
      <c r="E688" s="224">
        <v>529962</v>
      </c>
      <c r="F688" s="224">
        <v>96149</v>
      </c>
      <c r="G688" s="224">
        <v>258278</v>
      </c>
      <c r="H688" s="224">
        <v>18400</v>
      </c>
      <c r="I688" s="224">
        <v>81100</v>
      </c>
      <c r="J688" s="224">
        <v>525</v>
      </c>
      <c r="K688" s="224"/>
    </row>
    <row r="689" spans="1:11">
      <c r="A689" s="23" t="s">
        <v>449</v>
      </c>
      <c r="B689" s="23">
        <v>21</v>
      </c>
      <c r="C689" s="23">
        <v>31</v>
      </c>
      <c r="D689" s="224"/>
      <c r="E689" s="224"/>
      <c r="F689" s="224"/>
      <c r="G689" s="224">
        <v>5905</v>
      </c>
      <c r="H689" s="224">
        <v>30</v>
      </c>
      <c r="I689" s="224">
        <v>5800</v>
      </c>
      <c r="J689" s="224">
        <v>3850</v>
      </c>
      <c r="K689" s="224"/>
    </row>
    <row r="690" spans="1:11">
      <c r="A690" s="23" t="s">
        <v>449</v>
      </c>
      <c r="B690" s="23">
        <v>21</v>
      </c>
      <c r="C690" s="23">
        <v>33</v>
      </c>
      <c r="D690" s="224"/>
      <c r="E690" s="224"/>
      <c r="F690" s="224"/>
      <c r="G690" s="224"/>
      <c r="H690" s="224">
        <v>4050</v>
      </c>
      <c r="I690" s="224"/>
      <c r="J690" s="224"/>
      <c r="K690" s="224"/>
    </row>
    <row r="691" spans="1:11">
      <c r="A691" s="23" t="s">
        <v>449</v>
      </c>
      <c r="B691" s="23">
        <v>24</v>
      </c>
      <c r="C691" s="23">
        <v>27</v>
      </c>
      <c r="D691" s="224"/>
      <c r="E691" s="224">
        <v>17226</v>
      </c>
      <c r="F691" s="224">
        <v>121127</v>
      </c>
      <c r="G691" s="224">
        <v>93565</v>
      </c>
      <c r="H691" s="224"/>
      <c r="I691" s="224">
        <v>15000</v>
      </c>
      <c r="J691" s="224"/>
      <c r="K691" s="224"/>
    </row>
    <row r="692" spans="1:11">
      <c r="A692" s="23" t="s">
        <v>332</v>
      </c>
      <c r="B692" s="23">
        <v>21</v>
      </c>
      <c r="C692" s="23">
        <v>21</v>
      </c>
      <c r="D692" s="224"/>
      <c r="E692" s="224">
        <v>388066</v>
      </c>
      <c r="F692" s="224">
        <v>219665</v>
      </c>
      <c r="G692" s="224">
        <v>196492</v>
      </c>
      <c r="H692" s="224"/>
      <c r="I692" s="224"/>
      <c r="J692" s="224">
        <v>1700</v>
      </c>
      <c r="K692" s="224"/>
    </row>
    <row r="693" spans="1:11">
      <c r="A693" s="23" t="s">
        <v>332</v>
      </c>
      <c r="B693" s="23">
        <v>21</v>
      </c>
      <c r="C693" s="23">
        <v>24</v>
      </c>
      <c r="D693" s="224"/>
      <c r="E693" s="224">
        <v>216184</v>
      </c>
      <c r="F693" s="224">
        <v>1146094</v>
      </c>
      <c r="G693" s="224">
        <v>74276</v>
      </c>
      <c r="H693" s="224"/>
      <c r="I693" s="224"/>
      <c r="J693" s="224">
        <v>800</v>
      </c>
      <c r="K693" s="224"/>
    </row>
    <row r="694" spans="1:11">
      <c r="A694" s="23" t="s">
        <v>332</v>
      </c>
      <c r="B694" s="23">
        <v>21</v>
      </c>
      <c r="C694" s="23">
        <v>26</v>
      </c>
      <c r="D694" s="224"/>
      <c r="E694" s="224">
        <v>8906229</v>
      </c>
      <c r="F694" s="224"/>
      <c r="G694" s="224">
        <v>3679426</v>
      </c>
      <c r="H694" s="224">
        <v>117500</v>
      </c>
      <c r="I694" s="224"/>
      <c r="J694" s="224">
        <v>19250</v>
      </c>
      <c r="K694" s="224"/>
    </row>
    <row r="695" spans="1:11">
      <c r="A695" s="23" t="s">
        <v>332</v>
      </c>
      <c r="B695" s="23">
        <v>21</v>
      </c>
      <c r="C695" s="23">
        <v>27</v>
      </c>
      <c r="D695" s="224"/>
      <c r="E695" s="224">
        <v>13109574</v>
      </c>
      <c r="F695" s="224">
        <v>9619314</v>
      </c>
      <c r="G695" s="224">
        <v>10225428</v>
      </c>
      <c r="H695" s="224">
        <v>43000</v>
      </c>
      <c r="I695" s="224">
        <v>200100</v>
      </c>
      <c r="J695" s="224">
        <v>19250</v>
      </c>
      <c r="K695" s="224"/>
    </row>
    <row r="696" spans="1:11">
      <c r="A696" s="23" t="s">
        <v>332</v>
      </c>
      <c r="B696" s="23">
        <v>21</v>
      </c>
      <c r="C696" s="23">
        <v>33</v>
      </c>
      <c r="D696" s="224"/>
      <c r="E696" s="224"/>
      <c r="F696" s="224"/>
      <c r="G696" s="224"/>
      <c r="H696" s="224">
        <v>60500</v>
      </c>
      <c r="I696" s="224"/>
      <c r="J696" s="224"/>
      <c r="K696" s="224"/>
    </row>
    <row r="697" spans="1:11">
      <c r="A697" s="23" t="s">
        <v>332</v>
      </c>
      <c r="B697" s="23">
        <v>21</v>
      </c>
      <c r="C697" s="23">
        <v>34</v>
      </c>
      <c r="D697" s="224"/>
      <c r="E697" s="224">
        <v>327709</v>
      </c>
      <c r="F697" s="224"/>
      <c r="G697" s="224">
        <v>127982</v>
      </c>
      <c r="H697" s="224"/>
      <c r="I697" s="224"/>
      <c r="J697" s="224"/>
      <c r="K697" s="224"/>
    </row>
    <row r="698" spans="1:11">
      <c r="A698" s="23" t="s">
        <v>332</v>
      </c>
      <c r="B698" s="23">
        <v>23</v>
      </c>
      <c r="C698" s="23">
        <v>27</v>
      </c>
      <c r="D698" s="224"/>
      <c r="E698" s="224"/>
      <c r="F698" s="224">
        <v>89599</v>
      </c>
      <c r="G698" s="224"/>
      <c r="H698" s="224"/>
      <c r="I698" s="224"/>
      <c r="J698" s="224"/>
      <c r="K698" s="224"/>
    </row>
    <row r="699" spans="1:11">
      <c r="A699" s="23" t="s">
        <v>332</v>
      </c>
      <c r="B699" s="23">
        <v>24</v>
      </c>
      <c r="C699" s="23">
        <v>21</v>
      </c>
      <c r="D699" s="224"/>
      <c r="E699" s="224"/>
      <c r="F699" s="224">
        <v>107461</v>
      </c>
      <c r="G699" s="224">
        <v>47273</v>
      </c>
      <c r="H699" s="224"/>
      <c r="I699" s="224"/>
      <c r="J699" s="224"/>
      <c r="K699" s="224"/>
    </row>
    <row r="700" spans="1:11">
      <c r="A700" s="23" t="s">
        <v>332</v>
      </c>
      <c r="B700" s="23">
        <v>24</v>
      </c>
      <c r="C700" s="23">
        <v>27</v>
      </c>
      <c r="D700" s="224"/>
      <c r="E700" s="224">
        <v>1682675</v>
      </c>
      <c r="F700" s="224">
        <v>708028</v>
      </c>
      <c r="G700" s="224">
        <v>1085820</v>
      </c>
      <c r="H700" s="224"/>
      <c r="I700" s="224"/>
      <c r="J700" s="224"/>
      <c r="K700" s="224"/>
    </row>
    <row r="701" spans="1:11">
      <c r="A701" s="23" t="s">
        <v>332</v>
      </c>
      <c r="B701" s="23">
        <v>24</v>
      </c>
      <c r="C701" s="23">
        <v>32</v>
      </c>
      <c r="D701" s="224"/>
      <c r="E701" s="224"/>
      <c r="F701" s="224"/>
      <c r="G701" s="224"/>
      <c r="H701" s="224">
        <v>38000</v>
      </c>
      <c r="I701" s="224"/>
      <c r="J701" s="224"/>
      <c r="K701" s="224"/>
    </row>
    <row r="702" spans="1:11">
      <c r="A702" s="23" t="s">
        <v>334</v>
      </c>
      <c r="B702" s="23">
        <v>21</v>
      </c>
      <c r="C702" s="23">
        <v>21</v>
      </c>
      <c r="D702" s="224"/>
      <c r="E702" s="224">
        <v>142601</v>
      </c>
      <c r="F702" s="224">
        <v>57283</v>
      </c>
      <c r="G702" s="224">
        <v>69997</v>
      </c>
      <c r="H702" s="224">
        <v>900</v>
      </c>
      <c r="I702" s="224">
        <v>3500</v>
      </c>
      <c r="J702" s="224">
        <v>500</v>
      </c>
      <c r="K702" s="224"/>
    </row>
    <row r="703" spans="1:11">
      <c r="A703" s="23" t="s">
        <v>334</v>
      </c>
      <c r="B703" s="23">
        <v>21</v>
      </c>
      <c r="C703" s="23">
        <v>24</v>
      </c>
      <c r="D703" s="224"/>
      <c r="E703" s="224">
        <v>46454</v>
      </c>
      <c r="F703" s="224"/>
      <c r="G703" s="224">
        <v>18321</v>
      </c>
      <c r="H703" s="224"/>
      <c r="I703" s="224"/>
      <c r="J703" s="224"/>
      <c r="K703" s="224"/>
    </row>
    <row r="704" spans="1:11">
      <c r="A704" s="23" t="s">
        <v>334</v>
      </c>
      <c r="B704" s="23">
        <v>21</v>
      </c>
      <c r="C704" s="23">
        <v>26</v>
      </c>
      <c r="D704" s="224"/>
      <c r="E704" s="224">
        <v>415546</v>
      </c>
      <c r="F704" s="224"/>
      <c r="G704" s="224">
        <v>159119</v>
      </c>
      <c r="H704" s="224">
        <v>450</v>
      </c>
      <c r="I704" s="224">
        <v>126051</v>
      </c>
      <c r="J704" s="224"/>
      <c r="K704" s="224"/>
    </row>
    <row r="705" spans="1:11">
      <c r="A705" s="23" t="s">
        <v>334</v>
      </c>
      <c r="B705" s="23">
        <v>21</v>
      </c>
      <c r="C705" s="23">
        <v>27</v>
      </c>
      <c r="D705" s="224"/>
      <c r="E705" s="224">
        <v>681554</v>
      </c>
      <c r="F705" s="224">
        <v>775074</v>
      </c>
      <c r="G705" s="224">
        <v>791826</v>
      </c>
      <c r="H705" s="224">
        <v>29150</v>
      </c>
      <c r="I705" s="224">
        <v>65500</v>
      </c>
      <c r="J705" s="224"/>
      <c r="K705" s="224"/>
    </row>
    <row r="706" spans="1:11">
      <c r="A706" s="23" t="s">
        <v>334</v>
      </c>
      <c r="B706" s="23">
        <v>21</v>
      </c>
      <c r="C706" s="23">
        <v>31</v>
      </c>
      <c r="D706" s="224"/>
      <c r="E706" s="224"/>
      <c r="F706" s="224"/>
      <c r="G706" s="224"/>
      <c r="H706" s="224"/>
      <c r="I706" s="224">
        <v>15600</v>
      </c>
      <c r="J706" s="224">
        <v>500</v>
      </c>
      <c r="K706" s="224"/>
    </row>
    <row r="707" spans="1:11">
      <c r="A707" s="23" t="s">
        <v>334</v>
      </c>
      <c r="B707" s="23">
        <v>21</v>
      </c>
      <c r="C707" s="23">
        <v>33</v>
      </c>
      <c r="D707" s="224"/>
      <c r="E707" s="224"/>
      <c r="F707" s="224"/>
      <c r="G707" s="224"/>
      <c r="H707" s="224">
        <v>6000</v>
      </c>
      <c r="I707" s="224"/>
      <c r="J707" s="224"/>
      <c r="K707" s="224"/>
    </row>
    <row r="708" spans="1:11">
      <c r="A708" s="23" t="s">
        <v>334</v>
      </c>
      <c r="B708" s="23">
        <v>24</v>
      </c>
      <c r="C708" s="23">
        <v>27</v>
      </c>
      <c r="D708" s="224"/>
      <c r="E708" s="224">
        <v>77434</v>
      </c>
      <c r="F708" s="224">
        <v>113531</v>
      </c>
      <c r="G708" s="224">
        <v>100640</v>
      </c>
      <c r="H708" s="224"/>
      <c r="I708" s="224"/>
      <c r="J708" s="224"/>
      <c r="K708" s="224"/>
    </row>
    <row r="709" spans="1:11">
      <c r="A709" s="23" t="s">
        <v>336</v>
      </c>
      <c r="B709" s="23">
        <v>21</v>
      </c>
      <c r="C709" s="23">
        <v>21</v>
      </c>
      <c r="D709" s="224"/>
      <c r="E709" s="224"/>
      <c r="F709" s="224"/>
      <c r="G709" s="224"/>
      <c r="H709" s="224"/>
      <c r="I709" s="224">
        <v>46500</v>
      </c>
      <c r="J709" s="224"/>
      <c r="K709" s="224"/>
    </row>
    <row r="710" spans="1:11">
      <c r="A710" s="23" t="s">
        <v>336</v>
      </c>
      <c r="B710" s="23">
        <v>21</v>
      </c>
      <c r="C710" s="23">
        <v>26</v>
      </c>
      <c r="D710" s="224"/>
      <c r="E710" s="224">
        <v>38781</v>
      </c>
      <c r="F710" s="224"/>
      <c r="G710" s="224">
        <v>13861</v>
      </c>
      <c r="H710" s="224">
        <v>1300</v>
      </c>
      <c r="I710" s="224">
        <v>85000</v>
      </c>
      <c r="J710" s="224"/>
      <c r="K710" s="224"/>
    </row>
    <row r="711" spans="1:11">
      <c r="A711" s="23" t="s">
        <v>336</v>
      </c>
      <c r="B711" s="23">
        <v>21</v>
      </c>
      <c r="C711" s="23">
        <v>27</v>
      </c>
      <c r="D711" s="224"/>
      <c r="E711" s="224">
        <v>220125</v>
      </c>
      <c r="F711" s="224">
        <v>117113</v>
      </c>
      <c r="G711" s="224">
        <v>167240</v>
      </c>
      <c r="H711" s="224">
        <v>3900</v>
      </c>
      <c r="I711" s="224"/>
      <c r="J711" s="224"/>
      <c r="K711" s="224"/>
    </row>
    <row r="712" spans="1:11">
      <c r="A712" s="23" t="s">
        <v>336</v>
      </c>
      <c r="B712" s="23">
        <v>24</v>
      </c>
      <c r="C712" s="23">
        <v>26</v>
      </c>
      <c r="D712" s="224"/>
      <c r="E712" s="224">
        <v>54392</v>
      </c>
      <c r="F712" s="224"/>
      <c r="G712" s="224">
        <v>19917</v>
      </c>
      <c r="H712" s="224"/>
      <c r="I712" s="224"/>
      <c r="J712" s="224"/>
      <c r="K712" s="224"/>
    </row>
    <row r="713" spans="1:11">
      <c r="A713" s="23" t="s">
        <v>336</v>
      </c>
      <c r="B713" s="23">
        <v>24</v>
      </c>
      <c r="C713" s="23">
        <v>27</v>
      </c>
      <c r="D713" s="224"/>
      <c r="E713" s="224"/>
      <c r="F713" s="224">
        <v>30901</v>
      </c>
      <c r="G713" s="224">
        <v>19909</v>
      </c>
      <c r="H713" s="224"/>
      <c r="I713" s="224"/>
      <c r="J713" s="224"/>
      <c r="K713" s="224"/>
    </row>
    <row r="714" spans="1:11">
      <c r="A714" s="23" t="s">
        <v>338</v>
      </c>
      <c r="B714" s="23">
        <v>21</v>
      </c>
      <c r="C714" s="23">
        <v>21</v>
      </c>
      <c r="D714" s="224"/>
      <c r="E714" s="224">
        <v>133756</v>
      </c>
      <c r="F714" s="224">
        <v>54563</v>
      </c>
      <c r="G714" s="224">
        <v>63373</v>
      </c>
      <c r="H714" s="224">
        <v>1350</v>
      </c>
      <c r="I714" s="224">
        <v>9500</v>
      </c>
      <c r="J714" s="224">
        <v>500</v>
      </c>
      <c r="K714" s="224"/>
    </row>
    <row r="715" spans="1:11">
      <c r="A715" s="23" t="s">
        <v>338</v>
      </c>
      <c r="B715" s="23">
        <v>21</v>
      </c>
      <c r="C715" s="23">
        <v>26</v>
      </c>
      <c r="D715" s="224"/>
      <c r="E715" s="224">
        <v>230772</v>
      </c>
      <c r="F715" s="224">
        <v>30084</v>
      </c>
      <c r="G715" s="224">
        <v>90999</v>
      </c>
      <c r="H715" s="224">
        <v>114860</v>
      </c>
      <c r="I715" s="224">
        <v>318000</v>
      </c>
      <c r="J715" s="224"/>
      <c r="K715" s="224"/>
    </row>
    <row r="716" spans="1:11">
      <c r="A716" s="23" t="s">
        <v>338</v>
      </c>
      <c r="B716" s="23">
        <v>21</v>
      </c>
      <c r="C716" s="23">
        <v>27</v>
      </c>
      <c r="D716" s="224">
        <v>500</v>
      </c>
      <c r="E716" s="224">
        <v>725792</v>
      </c>
      <c r="F716" s="224">
        <v>459802</v>
      </c>
      <c r="G716" s="224">
        <v>550437</v>
      </c>
      <c r="H716" s="224">
        <v>19240</v>
      </c>
      <c r="I716" s="224">
        <v>10605</v>
      </c>
      <c r="J716" s="224"/>
      <c r="K716" s="224"/>
    </row>
    <row r="717" spans="1:11">
      <c r="A717" s="23" t="s">
        <v>338</v>
      </c>
      <c r="B717" s="23">
        <v>21</v>
      </c>
      <c r="C717" s="23">
        <v>31</v>
      </c>
      <c r="D717" s="224"/>
      <c r="E717" s="224">
        <v>4448</v>
      </c>
      <c r="F717" s="224"/>
      <c r="G717" s="224">
        <v>1103</v>
      </c>
      <c r="H717" s="224"/>
      <c r="I717" s="224">
        <v>8000</v>
      </c>
      <c r="J717" s="224"/>
      <c r="K717" s="224"/>
    </row>
    <row r="718" spans="1:11">
      <c r="A718" s="23" t="s">
        <v>338</v>
      </c>
      <c r="B718" s="23">
        <v>21</v>
      </c>
      <c r="C718" s="23">
        <v>32</v>
      </c>
      <c r="D718" s="224"/>
      <c r="E718" s="224"/>
      <c r="F718" s="224"/>
      <c r="G718" s="224"/>
      <c r="H718" s="224">
        <v>9000</v>
      </c>
      <c r="I718" s="224">
        <v>1000</v>
      </c>
      <c r="J718" s="224"/>
      <c r="K718" s="224"/>
    </row>
    <row r="719" spans="1:11">
      <c r="A719" s="23" t="s">
        <v>338</v>
      </c>
      <c r="B719" s="23">
        <v>21</v>
      </c>
      <c r="C719" s="23">
        <v>33</v>
      </c>
      <c r="D719" s="224"/>
      <c r="E719" s="224"/>
      <c r="F719" s="224"/>
      <c r="G719" s="224"/>
      <c r="H719" s="224">
        <v>5000</v>
      </c>
      <c r="I719" s="224"/>
      <c r="J719" s="224"/>
      <c r="K719" s="224"/>
    </row>
    <row r="720" spans="1:11">
      <c r="A720" s="23" t="s">
        <v>338</v>
      </c>
      <c r="B720" s="23">
        <v>21</v>
      </c>
      <c r="C720" s="23">
        <v>34</v>
      </c>
      <c r="D720" s="224"/>
      <c r="E720" s="224">
        <v>21911</v>
      </c>
      <c r="F720" s="224"/>
      <c r="G720" s="224">
        <v>5095</v>
      </c>
      <c r="H720" s="224"/>
      <c r="I720" s="224"/>
      <c r="J720" s="224"/>
      <c r="K720" s="224"/>
    </row>
    <row r="721" spans="1:11">
      <c r="A721" s="23" t="s">
        <v>338</v>
      </c>
      <c r="B721" s="23">
        <v>24</v>
      </c>
      <c r="C721" s="23">
        <v>21</v>
      </c>
      <c r="D721" s="224"/>
      <c r="E721" s="224"/>
      <c r="F721" s="224"/>
      <c r="G721" s="224"/>
      <c r="H721" s="224">
        <v>16756</v>
      </c>
      <c r="I721" s="224"/>
      <c r="J721" s="224"/>
      <c r="K721" s="224"/>
    </row>
    <row r="722" spans="1:11">
      <c r="A722" s="23" t="s">
        <v>338</v>
      </c>
      <c r="B722" s="23">
        <v>24</v>
      </c>
      <c r="C722" s="23">
        <v>27</v>
      </c>
      <c r="D722" s="224"/>
      <c r="E722" s="224">
        <v>281816</v>
      </c>
      <c r="F722" s="224">
        <v>14957</v>
      </c>
      <c r="G722" s="224">
        <v>112085</v>
      </c>
      <c r="H722" s="224"/>
      <c r="I722" s="224"/>
      <c r="J722" s="224"/>
      <c r="K722" s="224"/>
    </row>
    <row r="723" spans="1:11">
      <c r="A723" s="23" t="s">
        <v>1509</v>
      </c>
      <c r="B723" s="23">
        <v>21</v>
      </c>
      <c r="C723" s="23">
        <v>23</v>
      </c>
      <c r="D723" s="224"/>
      <c r="E723" s="224">
        <v>33219</v>
      </c>
      <c r="F723" s="224"/>
      <c r="G723" s="224"/>
      <c r="H723" s="224"/>
      <c r="I723" s="224"/>
      <c r="J723" s="224"/>
      <c r="K723" s="224"/>
    </row>
    <row r="724" spans="1:11">
      <c r="A724" s="23" t="s">
        <v>1509</v>
      </c>
      <c r="B724" s="23">
        <v>21</v>
      </c>
      <c r="C724" s="23">
        <v>26</v>
      </c>
      <c r="D724" s="224"/>
      <c r="E724" s="224">
        <v>17230</v>
      </c>
      <c r="F724" s="224"/>
      <c r="G724" s="224"/>
      <c r="H724" s="224"/>
      <c r="I724" s="224"/>
      <c r="J724" s="224"/>
      <c r="K724" s="224"/>
    </row>
    <row r="725" spans="1:11">
      <c r="A725" s="23" t="s">
        <v>1509</v>
      </c>
      <c r="B725" s="23">
        <v>21</v>
      </c>
      <c r="C725" s="23">
        <v>27</v>
      </c>
      <c r="D725" s="224"/>
      <c r="E725" s="224">
        <v>76246</v>
      </c>
      <c r="F725" s="224">
        <v>6146</v>
      </c>
      <c r="G725" s="224"/>
      <c r="H725" s="224"/>
      <c r="I725" s="224"/>
      <c r="J725" s="224"/>
      <c r="K725" s="224"/>
    </row>
    <row r="726" spans="1:11">
      <c r="A726" s="23" t="s">
        <v>1509</v>
      </c>
      <c r="B726" s="23">
        <v>24</v>
      </c>
      <c r="C726" s="23">
        <v>26</v>
      </c>
      <c r="D726" s="224"/>
      <c r="E726" s="224"/>
      <c r="F726" s="224"/>
      <c r="G726" s="224"/>
      <c r="H726" s="224"/>
      <c r="I726" s="224">
        <v>14437</v>
      </c>
      <c r="J726" s="224"/>
      <c r="K726" s="224"/>
    </row>
    <row r="727" spans="1:11">
      <c r="A727" s="23" t="s">
        <v>964</v>
      </c>
      <c r="B727" s="23">
        <v>21</v>
      </c>
      <c r="C727" s="23">
        <v>23</v>
      </c>
      <c r="D727" s="224"/>
      <c r="E727" s="224">
        <v>111038</v>
      </c>
      <c r="F727" s="224">
        <v>16365</v>
      </c>
      <c r="G727" s="224"/>
      <c r="H727" s="224"/>
      <c r="I727" s="224"/>
      <c r="J727" s="224"/>
      <c r="K727" s="224"/>
    </row>
    <row r="728" spans="1:11">
      <c r="A728" s="23" t="s">
        <v>964</v>
      </c>
      <c r="B728" s="23">
        <v>21</v>
      </c>
      <c r="C728" s="23">
        <v>26</v>
      </c>
      <c r="D728" s="224"/>
      <c r="E728" s="224">
        <v>34459</v>
      </c>
      <c r="F728" s="224"/>
      <c r="G728" s="224">
        <v>15802</v>
      </c>
      <c r="H728" s="224"/>
      <c r="I728" s="224">
        <v>122379</v>
      </c>
      <c r="J728" s="224"/>
      <c r="K728" s="224"/>
    </row>
    <row r="729" spans="1:11">
      <c r="A729" s="23" t="s">
        <v>964</v>
      </c>
      <c r="B729" s="23">
        <v>21</v>
      </c>
      <c r="C729" s="23">
        <v>27</v>
      </c>
      <c r="D729" s="224"/>
      <c r="E729" s="224">
        <v>388949</v>
      </c>
      <c r="F729" s="224">
        <v>40189</v>
      </c>
      <c r="G729" s="224"/>
      <c r="H729" s="224">
        <v>10000</v>
      </c>
      <c r="I729" s="224"/>
      <c r="J729" s="224"/>
      <c r="K729" s="224"/>
    </row>
    <row r="730" spans="1:11">
      <c r="A730" s="23" t="s">
        <v>964</v>
      </c>
      <c r="B730" s="23">
        <v>21</v>
      </c>
      <c r="C730" s="23">
        <v>32</v>
      </c>
      <c r="D730" s="224"/>
      <c r="E730" s="224"/>
      <c r="F730" s="224"/>
      <c r="G730" s="224"/>
      <c r="H730" s="224">
        <v>2596</v>
      </c>
      <c r="I730" s="224"/>
      <c r="J730" s="224"/>
      <c r="K730" s="224"/>
    </row>
    <row r="731" spans="1:11">
      <c r="A731" s="23" t="s">
        <v>964</v>
      </c>
      <c r="B731" s="23">
        <v>24</v>
      </c>
      <c r="C731" s="23">
        <v>26</v>
      </c>
      <c r="D731" s="224"/>
      <c r="E731" s="224"/>
      <c r="F731" s="224"/>
      <c r="G731" s="224"/>
      <c r="H731" s="224"/>
      <c r="I731" s="224">
        <v>81211</v>
      </c>
      <c r="J731" s="224"/>
      <c r="K731" s="224"/>
    </row>
    <row r="732" spans="1:11">
      <c r="A732" s="23" t="s">
        <v>964</v>
      </c>
      <c r="B732" s="23">
        <v>24</v>
      </c>
      <c r="C732" s="23">
        <v>27</v>
      </c>
      <c r="D732" s="224"/>
      <c r="E732" s="224"/>
      <c r="F732" s="224"/>
      <c r="G732" s="224"/>
      <c r="H732" s="224">
        <v>1529</v>
      </c>
      <c r="I732" s="224"/>
      <c r="J732" s="224"/>
      <c r="K732" s="224"/>
    </row>
    <row r="733" spans="1:11">
      <c r="A733" s="23" t="s">
        <v>1051</v>
      </c>
      <c r="B733" s="23">
        <v>21</v>
      </c>
      <c r="C733" s="23">
        <v>23</v>
      </c>
      <c r="D733" s="224"/>
      <c r="E733" s="224">
        <v>79997</v>
      </c>
      <c r="F733" s="224">
        <v>16661</v>
      </c>
      <c r="G733" s="224"/>
      <c r="H733" s="224"/>
      <c r="I733" s="224">
        <v>16236</v>
      </c>
      <c r="J733" s="224"/>
      <c r="K733" s="224"/>
    </row>
    <row r="734" spans="1:11">
      <c r="A734" s="23" t="s">
        <v>1051</v>
      </c>
      <c r="B734" s="23">
        <v>21</v>
      </c>
      <c r="C734" s="23">
        <v>26</v>
      </c>
      <c r="D734" s="224"/>
      <c r="E734" s="224">
        <v>17230</v>
      </c>
      <c r="F734" s="224"/>
      <c r="G734" s="224"/>
      <c r="H734" s="224"/>
      <c r="I734" s="224">
        <v>63853</v>
      </c>
      <c r="J734" s="224"/>
      <c r="K734" s="224"/>
    </row>
    <row r="735" spans="1:11">
      <c r="A735" s="23" t="s">
        <v>1051</v>
      </c>
      <c r="B735" s="23">
        <v>21</v>
      </c>
      <c r="C735" s="23">
        <v>27</v>
      </c>
      <c r="D735" s="224"/>
      <c r="E735" s="224">
        <v>68919</v>
      </c>
      <c r="F735" s="224">
        <v>43065</v>
      </c>
      <c r="G735" s="224">
        <v>60044</v>
      </c>
      <c r="H735" s="224">
        <v>41193</v>
      </c>
      <c r="I735" s="224">
        <v>1948</v>
      </c>
      <c r="J735" s="224"/>
      <c r="K735" s="224"/>
    </row>
    <row r="736" spans="1:11">
      <c r="A736" s="23" t="s">
        <v>1051</v>
      </c>
      <c r="B736" s="23">
        <v>21</v>
      </c>
      <c r="C736" s="23">
        <v>31</v>
      </c>
      <c r="D736" s="224"/>
      <c r="E736" s="224"/>
      <c r="F736" s="224"/>
      <c r="G736" s="224"/>
      <c r="H736" s="224">
        <v>5256</v>
      </c>
      <c r="I736" s="224"/>
      <c r="J736" s="224"/>
      <c r="K736" s="224"/>
    </row>
    <row r="737" spans="1:11">
      <c r="A737" s="23" t="s">
        <v>1051</v>
      </c>
      <c r="B737" s="23">
        <v>21</v>
      </c>
      <c r="C737" s="23">
        <v>32</v>
      </c>
      <c r="D737" s="224"/>
      <c r="E737" s="224"/>
      <c r="F737" s="224"/>
      <c r="G737" s="224"/>
      <c r="H737" s="224">
        <v>31745</v>
      </c>
      <c r="I737" s="224"/>
      <c r="J737" s="224"/>
      <c r="K737" s="224"/>
    </row>
    <row r="738" spans="1:11">
      <c r="A738" s="23" t="s">
        <v>1051</v>
      </c>
      <c r="B738" s="23">
        <v>21</v>
      </c>
      <c r="C738" s="23">
        <v>33</v>
      </c>
      <c r="D738" s="224"/>
      <c r="E738" s="224"/>
      <c r="F738" s="224"/>
      <c r="G738" s="224"/>
      <c r="H738" s="224">
        <v>14932</v>
      </c>
      <c r="I738" s="224"/>
      <c r="J738" s="224"/>
      <c r="K738" s="224"/>
    </row>
    <row r="739" spans="1:11">
      <c r="A739" s="23" t="s">
        <v>1051</v>
      </c>
      <c r="B739" s="23">
        <v>24</v>
      </c>
      <c r="C739" s="23">
        <v>26</v>
      </c>
      <c r="D739" s="224"/>
      <c r="E739" s="224"/>
      <c r="F739" s="224"/>
      <c r="G739" s="224"/>
      <c r="H739" s="224"/>
      <c r="I739" s="224">
        <v>47844</v>
      </c>
      <c r="J739" s="224"/>
      <c r="K739" s="224"/>
    </row>
    <row r="740" spans="1:11">
      <c r="A740" s="23" t="s">
        <v>340</v>
      </c>
      <c r="B740" s="23">
        <v>21</v>
      </c>
      <c r="C740" s="23">
        <v>26</v>
      </c>
      <c r="D740" s="224"/>
      <c r="E740" s="224"/>
      <c r="F740" s="224"/>
      <c r="G740" s="224"/>
      <c r="H740" s="224"/>
      <c r="I740" s="224">
        <v>51521</v>
      </c>
      <c r="J740" s="224"/>
      <c r="K740" s="224"/>
    </row>
    <row r="741" spans="1:11">
      <c r="A741" s="23" t="s">
        <v>340</v>
      </c>
      <c r="B741" s="23">
        <v>21</v>
      </c>
      <c r="C741" s="23">
        <v>27</v>
      </c>
      <c r="D741" s="224"/>
      <c r="E741" s="224">
        <v>128391</v>
      </c>
      <c r="F741" s="224">
        <v>113898</v>
      </c>
      <c r="G741" s="224">
        <v>117205</v>
      </c>
      <c r="H741" s="224"/>
      <c r="I741" s="224">
        <v>7198</v>
      </c>
      <c r="J741" s="224"/>
      <c r="K741" s="224"/>
    </row>
    <row r="742" spans="1:11">
      <c r="A742" s="23" t="s">
        <v>340</v>
      </c>
      <c r="B742" s="23">
        <v>24</v>
      </c>
      <c r="C742" s="23">
        <v>26</v>
      </c>
      <c r="D742" s="224"/>
      <c r="E742" s="224"/>
      <c r="F742" s="224"/>
      <c r="G742" s="224"/>
      <c r="H742" s="224"/>
      <c r="I742" s="224">
        <v>60704</v>
      </c>
      <c r="J742" s="224"/>
      <c r="K742" s="224"/>
    </row>
    <row r="743" spans="1:11">
      <c r="A743" s="23" t="s">
        <v>340</v>
      </c>
      <c r="B743" s="23">
        <v>29</v>
      </c>
      <c r="C743" s="23">
        <v>27</v>
      </c>
      <c r="D743" s="224"/>
      <c r="E743" s="224"/>
      <c r="F743" s="224">
        <v>41371</v>
      </c>
      <c r="G743" s="224">
        <v>20941</v>
      </c>
      <c r="H743" s="224"/>
      <c r="I743" s="224"/>
      <c r="J743" s="224"/>
      <c r="K743" s="224"/>
    </row>
    <row r="744" spans="1:11">
      <c r="A744" s="23" t="s">
        <v>342</v>
      </c>
      <c r="B744" s="23">
        <v>21</v>
      </c>
      <c r="C744" s="23">
        <v>26</v>
      </c>
      <c r="D744" s="224"/>
      <c r="E744" s="224"/>
      <c r="F744" s="224"/>
      <c r="G744" s="224"/>
      <c r="H744" s="224">
        <v>150</v>
      </c>
      <c r="I744" s="224">
        <v>7700</v>
      </c>
      <c r="J744" s="224">
        <v>500</v>
      </c>
      <c r="K744" s="224"/>
    </row>
    <row r="745" spans="1:11">
      <c r="A745" s="23" t="s">
        <v>342</v>
      </c>
      <c r="B745" s="23">
        <v>21</v>
      </c>
      <c r="C745" s="23">
        <v>27</v>
      </c>
      <c r="D745" s="224"/>
      <c r="E745" s="224">
        <v>29833</v>
      </c>
      <c r="F745" s="224"/>
      <c r="G745" s="224">
        <v>2364</v>
      </c>
      <c r="H745" s="224">
        <v>1000</v>
      </c>
      <c r="I745" s="224">
        <v>700</v>
      </c>
      <c r="J745" s="224">
        <v>100</v>
      </c>
      <c r="K745" s="224"/>
    </row>
    <row r="746" spans="1:11">
      <c r="A746" s="23" t="s">
        <v>342</v>
      </c>
      <c r="B746" s="23">
        <v>21</v>
      </c>
      <c r="C746" s="23">
        <v>31</v>
      </c>
      <c r="D746" s="224"/>
      <c r="E746" s="224"/>
      <c r="F746" s="224"/>
      <c r="G746" s="224"/>
      <c r="H746" s="224"/>
      <c r="I746" s="224"/>
      <c r="J746" s="224">
        <v>100</v>
      </c>
      <c r="K746" s="224"/>
    </row>
    <row r="747" spans="1:11">
      <c r="A747" s="23" t="s">
        <v>342</v>
      </c>
      <c r="B747" s="23">
        <v>21</v>
      </c>
      <c r="C747" s="23">
        <v>33</v>
      </c>
      <c r="D747" s="224"/>
      <c r="E747" s="224"/>
      <c r="F747" s="224"/>
      <c r="G747" s="224"/>
      <c r="H747" s="224">
        <v>100</v>
      </c>
      <c r="I747" s="224"/>
      <c r="J747" s="224"/>
      <c r="K747" s="224"/>
    </row>
    <row r="748" spans="1:11">
      <c r="A748" s="23" t="s">
        <v>342</v>
      </c>
      <c r="B748" s="23">
        <v>21</v>
      </c>
      <c r="C748" s="23">
        <v>34</v>
      </c>
      <c r="D748" s="224"/>
      <c r="E748" s="224">
        <v>491</v>
      </c>
      <c r="F748" s="224"/>
      <c r="G748" s="224">
        <v>39</v>
      </c>
      <c r="H748" s="224"/>
      <c r="I748" s="224"/>
      <c r="J748" s="224"/>
      <c r="K748" s="224"/>
    </row>
    <row r="749" spans="1:11">
      <c r="A749" s="23" t="s">
        <v>342</v>
      </c>
      <c r="B749" s="23">
        <v>24</v>
      </c>
      <c r="C749" s="23">
        <v>27</v>
      </c>
      <c r="D749" s="224"/>
      <c r="E749" s="224"/>
      <c r="F749" s="224"/>
      <c r="G749" s="224"/>
      <c r="H749" s="224"/>
      <c r="I749" s="224">
        <v>8596</v>
      </c>
      <c r="J749" s="224"/>
      <c r="K749" s="224"/>
    </row>
    <row r="750" spans="1:11">
      <c r="A750" s="23" t="s">
        <v>344</v>
      </c>
      <c r="B750" s="23">
        <v>21</v>
      </c>
      <c r="C750" s="23">
        <v>21</v>
      </c>
      <c r="D750" s="224"/>
      <c r="E750" s="224">
        <v>1121187</v>
      </c>
      <c r="F750" s="224">
        <v>219645</v>
      </c>
      <c r="G750" s="224">
        <v>406127</v>
      </c>
      <c r="H750" s="224">
        <v>21502</v>
      </c>
      <c r="I750" s="224">
        <v>153004</v>
      </c>
      <c r="J750" s="224">
        <v>20000</v>
      </c>
      <c r="K750" s="224">
        <v>8500</v>
      </c>
    </row>
    <row r="751" spans="1:11">
      <c r="A751" s="23" t="s">
        <v>344</v>
      </c>
      <c r="B751" s="23">
        <v>21</v>
      </c>
      <c r="C751" s="23">
        <v>23</v>
      </c>
      <c r="D751" s="224"/>
      <c r="E751" s="224">
        <v>169364</v>
      </c>
      <c r="F751" s="224"/>
      <c r="G751" s="224">
        <v>51553</v>
      </c>
      <c r="H751" s="224"/>
      <c r="I751" s="224"/>
      <c r="J751" s="224"/>
      <c r="K751" s="224"/>
    </row>
    <row r="752" spans="1:11">
      <c r="A752" s="23" t="s">
        <v>344</v>
      </c>
      <c r="B752" s="23">
        <v>21</v>
      </c>
      <c r="C752" s="23">
        <v>26</v>
      </c>
      <c r="D752" s="224"/>
      <c r="E752" s="224">
        <v>2850182</v>
      </c>
      <c r="F752" s="224">
        <v>930718</v>
      </c>
      <c r="G752" s="224">
        <v>1433883</v>
      </c>
      <c r="H752" s="224">
        <v>98500</v>
      </c>
      <c r="I752" s="224">
        <v>775202</v>
      </c>
      <c r="J752" s="224">
        <v>10000</v>
      </c>
      <c r="K752" s="224">
        <v>43000</v>
      </c>
    </row>
    <row r="753" spans="1:11">
      <c r="A753" s="23" t="s">
        <v>344</v>
      </c>
      <c r="B753" s="23">
        <v>21</v>
      </c>
      <c r="C753" s="23">
        <v>27</v>
      </c>
      <c r="D753" s="224"/>
      <c r="E753" s="224">
        <v>9512035</v>
      </c>
      <c r="F753" s="224">
        <v>6424214</v>
      </c>
      <c r="G753" s="224">
        <v>7306895</v>
      </c>
      <c r="H753" s="224">
        <v>32104</v>
      </c>
      <c r="I753" s="224">
        <v>1454360</v>
      </c>
      <c r="J753" s="224">
        <v>10000</v>
      </c>
      <c r="K753" s="224">
        <v>12498</v>
      </c>
    </row>
    <row r="754" spans="1:11">
      <c r="A754" s="23" t="s">
        <v>344</v>
      </c>
      <c r="B754" s="23">
        <v>21</v>
      </c>
      <c r="C754" s="23">
        <v>29</v>
      </c>
      <c r="D754" s="224"/>
      <c r="E754" s="224"/>
      <c r="F754" s="224"/>
      <c r="G754" s="224"/>
      <c r="H754" s="224"/>
      <c r="I754" s="224">
        <v>2</v>
      </c>
      <c r="J754" s="224"/>
      <c r="K754" s="224"/>
    </row>
    <row r="755" spans="1:11">
      <c r="A755" s="23" t="s">
        <v>344</v>
      </c>
      <c r="B755" s="23">
        <v>21</v>
      </c>
      <c r="C755" s="23">
        <v>33</v>
      </c>
      <c r="D755" s="224"/>
      <c r="E755" s="224"/>
      <c r="F755" s="224"/>
      <c r="G755" s="224"/>
      <c r="H755" s="224">
        <v>216000</v>
      </c>
      <c r="I755" s="224"/>
      <c r="J755" s="224"/>
      <c r="K755" s="224"/>
    </row>
    <row r="756" spans="1:11">
      <c r="A756" s="23" t="s">
        <v>344</v>
      </c>
      <c r="B756" s="23">
        <v>24</v>
      </c>
      <c r="C756" s="23">
        <v>21</v>
      </c>
      <c r="D756" s="224"/>
      <c r="E756" s="224">
        <v>175048</v>
      </c>
      <c r="F756" s="224"/>
      <c r="G756" s="224">
        <v>52138</v>
      </c>
      <c r="H756" s="224"/>
      <c r="I756" s="224"/>
      <c r="J756" s="224"/>
      <c r="K756" s="224"/>
    </row>
    <row r="757" spans="1:11">
      <c r="A757" s="23" t="s">
        <v>344</v>
      </c>
      <c r="B757" s="23">
        <v>24</v>
      </c>
      <c r="C757" s="23">
        <v>26</v>
      </c>
      <c r="D757" s="224"/>
      <c r="E757" s="224">
        <v>3468015</v>
      </c>
      <c r="F757" s="224"/>
      <c r="G757" s="224">
        <v>1232340</v>
      </c>
      <c r="H757" s="224"/>
      <c r="I757" s="224"/>
      <c r="J757" s="224"/>
      <c r="K757" s="224"/>
    </row>
    <row r="758" spans="1:11">
      <c r="A758" s="23" t="s">
        <v>344</v>
      </c>
      <c r="B758" s="23">
        <v>24</v>
      </c>
      <c r="C758" s="23">
        <v>27</v>
      </c>
      <c r="D758" s="224"/>
      <c r="E758" s="224">
        <v>1799368</v>
      </c>
      <c r="F758" s="224">
        <v>4</v>
      </c>
      <c r="G758" s="224">
        <v>639589</v>
      </c>
      <c r="H758" s="224"/>
      <c r="I758" s="224">
        <v>4500006</v>
      </c>
      <c r="J758" s="224"/>
      <c r="K758" s="224"/>
    </row>
    <row r="759" spans="1:11">
      <c r="A759" s="23" t="s">
        <v>344</v>
      </c>
      <c r="B759" s="23">
        <v>24</v>
      </c>
      <c r="C759" s="23">
        <v>29</v>
      </c>
      <c r="D759" s="224"/>
      <c r="E759" s="224"/>
      <c r="F759" s="224"/>
      <c r="G759" s="224"/>
      <c r="H759" s="224"/>
      <c r="I759" s="224">
        <v>2</v>
      </c>
      <c r="J759" s="224"/>
      <c r="K759" s="224"/>
    </row>
    <row r="760" spans="1:11">
      <c r="A760" s="23" t="s">
        <v>344</v>
      </c>
      <c r="B760" s="23">
        <v>24</v>
      </c>
      <c r="C760" s="23">
        <v>31</v>
      </c>
      <c r="D760" s="224"/>
      <c r="E760" s="224"/>
      <c r="F760" s="224"/>
      <c r="G760" s="224"/>
      <c r="H760" s="224">
        <v>2</v>
      </c>
      <c r="I760" s="224"/>
      <c r="J760" s="224"/>
      <c r="K760" s="224"/>
    </row>
    <row r="761" spans="1:11">
      <c r="A761" s="23" t="s">
        <v>346</v>
      </c>
      <c r="B761" s="23">
        <v>21</v>
      </c>
      <c r="C761" s="23">
        <v>27</v>
      </c>
      <c r="D761" s="224"/>
      <c r="E761" s="224">
        <v>6077</v>
      </c>
      <c r="F761" s="224"/>
      <c r="G761" s="224"/>
      <c r="H761" s="224">
        <v>300</v>
      </c>
      <c r="I761" s="224">
        <v>250</v>
      </c>
      <c r="J761" s="224">
        <v>500</v>
      </c>
      <c r="K761" s="224"/>
    </row>
    <row r="762" spans="1:11">
      <c r="A762" s="23" t="s">
        <v>346</v>
      </c>
      <c r="B762" s="23">
        <v>21</v>
      </c>
      <c r="C762" s="23">
        <v>29</v>
      </c>
      <c r="D762" s="224"/>
      <c r="E762" s="224"/>
      <c r="F762" s="224"/>
      <c r="G762" s="224"/>
      <c r="H762" s="224"/>
      <c r="I762" s="224">
        <v>69796</v>
      </c>
      <c r="J762" s="224"/>
      <c r="K762" s="224"/>
    </row>
    <row r="763" spans="1:11">
      <c r="A763" s="23" t="s">
        <v>452</v>
      </c>
      <c r="B763" s="23">
        <v>21</v>
      </c>
      <c r="C763" s="23">
        <v>29</v>
      </c>
      <c r="D763" s="224"/>
      <c r="E763" s="224"/>
      <c r="F763" s="224"/>
      <c r="G763" s="224"/>
      <c r="H763" s="224"/>
      <c r="I763" s="224">
        <v>1927147</v>
      </c>
      <c r="J763" s="224"/>
      <c r="K763" s="224"/>
    </row>
    <row r="764" spans="1:11">
      <c r="A764" s="23" t="s">
        <v>454</v>
      </c>
      <c r="B764" s="23">
        <v>21</v>
      </c>
      <c r="C764" s="23">
        <v>26</v>
      </c>
      <c r="D764" s="224"/>
      <c r="E764" s="224"/>
      <c r="F764" s="224"/>
      <c r="G764" s="224"/>
      <c r="H764" s="224"/>
      <c r="I764" s="224">
        <v>23520</v>
      </c>
      <c r="J764" s="224"/>
      <c r="K764" s="224"/>
    </row>
    <row r="765" spans="1:11">
      <c r="A765" s="23" t="s">
        <v>454</v>
      </c>
      <c r="B765" s="23">
        <v>21</v>
      </c>
      <c r="C765" s="23">
        <v>27</v>
      </c>
      <c r="D765" s="224"/>
      <c r="E765" s="224">
        <v>7489</v>
      </c>
      <c r="F765" s="224"/>
      <c r="G765" s="224">
        <v>1668</v>
      </c>
      <c r="H765" s="224"/>
      <c r="I765" s="224"/>
      <c r="J765" s="224"/>
      <c r="K765" s="224"/>
    </row>
    <row r="766" spans="1:11">
      <c r="A766" s="23" t="s">
        <v>454</v>
      </c>
      <c r="B766" s="23">
        <v>24</v>
      </c>
      <c r="C766" s="23">
        <v>27</v>
      </c>
      <c r="D766" s="224"/>
      <c r="E766" s="224"/>
      <c r="F766" s="224"/>
      <c r="G766" s="224"/>
      <c r="H766" s="224"/>
      <c r="I766" s="224">
        <v>12000</v>
      </c>
      <c r="J766" s="224"/>
      <c r="K766" s="224"/>
    </row>
    <row r="767" spans="1:11">
      <c r="A767" s="23" t="s">
        <v>454</v>
      </c>
      <c r="B767" s="23">
        <v>29</v>
      </c>
      <c r="C767" s="23">
        <v>29</v>
      </c>
      <c r="D767" s="224"/>
      <c r="E767" s="224"/>
      <c r="F767" s="224"/>
      <c r="G767" s="224"/>
      <c r="H767" s="224"/>
      <c r="I767" s="224">
        <v>5000</v>
      </c>
      <c r="J767" s="224"/>
      <c r="K767" s="224"/>
    </row>
    <row r="768" spans="1:11">
      <c r="A768" s="23" t="s">
        <v>456</v>
      </c>
      <c r="B768" s="23">
        <v>21</v>
      </c>
      <c r="C768" s="23">
        <v>21</v>
      </c>
      <c r="D768" s="224">
        <v>1900</v>
      </c>
      <c r="E768" s="224">
        <v>386050</v>
      </c>
      <c r="F768" s="224">
        <v>102512</v>
      </c>
      <c r="G768" s="224">
        <v>170825</v>
      </c>
      <c r="H768" s="224">
        <v>3600</v>
      </c>
      <c r="I768" s="224">
        <v>15350</v>
      </c>
      <c r="J768" s="224">
        <v>3000</v>
      </c>
      <c r="K768" s="224"/>
    </row>
    <row r="769" spans="1:11">
      <c r="A769" s="23" t="s">
        <v>456</v>
      </c>
      <c r="B769" s="23">
        <v>21</v>
      </c>
      <c r="C769" s="23">
        <v>25</v>
      </c>
      <c r="D769" s="224"/>
      <c r="E769" s="224"/>
      <c r="F769" s="224">
        <v>20643</v>
      </c>
      <c r="G769" s="224">
        <v>15226</v>
      </c>
      <c r="H769" s="224"/>
      <c r="I769" s="224"/>
      <c r="J769" s="224"/>
      <c r="K769" s="224"/>
    </row>
    <row r="770" spans="1:11">
      <c r="A770" s="23" t="s">
        <v>456</v>
      </c>
      <c r="B770" s="23">
        <v>21</v>
      </c>
      <c r="C770" s="23">
        <v>26</v>
      </c>
      <c r="D770" s="224"/>
      <c r="E770" s="224">
        <v>963306</v>
      </c>
      <c r="F770" s="224">
        <v>115290</v>
      </c>
      <c r="G770" s="224">
        <v>448060</v>
      </c>
      <c r="H770" s="224">
        <v>25000</v>
      </c>
      <c r="I770" s="224">
        <v>1025000</v>
      </c>
      <c r="J770" s="224">
        <v>4000</v>
      </c>
      <c r="K770" s="224"/>
    </row>
    <row r="771" spans="1:11">
      <c r="A771" s="23" t="s">
        <v>456</v>
      </c>
      <c r="B771" s="23">
        <v>21</v>
      </c>
      <c r="C771" s="23">
        <v>27</v>
      </c>
      <c r="D771" s="224">
        <v>1000</v>
      </c>
      <c r="E771" s="224">
        <v>1807396</v>
      </c>
      <c r="F771" s="224">
        <v>1668486</v>
      </c>
      <c r="G771" s="224">
        <v>1826464</v>
      </c>
      <c r="H771" s="224">
        <v>17400</v>
      </c>
      <c r="I771" s="224">
        <v>969000</v>
      </c>
      <c r="J771" s="224">
        <v>1500</v>
      </c>
      <c r="K771" s="224"/>
    </row>
    <row r="772" spans="1:11">
      <c r="A772" s="23" t="s">
        <v>456</v>
      </c>
      <c r="B772" s="23">
        <v>21</v>
      </c>
      <c r="C772" s="23">
        <v>31</v>
      </c>
      <c r="D772" s="224"/>
      <c r="E772" s="224">
        <v>5000</v>
      </c>
      <c r="F772" s="224"/>
      <c r="G772" s="224">
        <v>635</v>
      </c>
      <c r="H772" s="224">
        <v>4500</v>
      </c>
      <c r="I772" s="224">
        <v>4500</v>
      </c>
      <c r="J772" s="224">
        <v>1000</v>
      </c>
      <c r="K772" s="224"/>
    </row>
    <row r="773" spans="1:11">
      <c r="A773" s="23" t="s">
        <v>456</v>
      </c>
      <c r="B773" s="23">
        <v>21</v>
      </c>
      <c r="C773" s="23">
        <v>32</v>
      </c>
      <c r="D773" s="224"/>
      <c r="E773" s="224"/>
      <c r="F773" s="224"/>
      <c r="G773" s="224"/>
      <c r="H773" s="224">
        <v>8000</v>
      </c>
      <c r="I773" s="224"/>
      <c r="J773" s="224"/>
      <c r="K773" s="224"/>
    </row>
    <row r="774" spans="1:11">
      <c r="A774" s="23" t="s">
        <v>456</v>
      </c>
      <c r="B774" s="23">
        <v>21</v>
      </c>
      <c r="C774" s="23">
        <v>33</v>
      </c>
      <c r="D774" s="224"/>
      <c r="E774" s="224"/>
      <c r="F774" s="224"/>
      <c r="G774" s="224"/>
      <c r="H774" s="224">
        <v>10000</v>
      </c>
      <c r="I774" s="224">
        <v>5500</v>
      </c>
      <c r="J774" s="224"/>
      <c r="K774" s="224"/>
    </row>
    <row r="775" spans="1:11">
      <c r="A775" s="23" t="s">
        <v>456</v>
      </c>
      <c r="B775" s="23">
        <v>23</v>
      </c>
      <c r="C775" s="23">
        <v>27</v>
      </c>
      <c r="D775" s="224"/>
      <c r="E775" s="224"/>
      <c r="F775" s="224">
        <v>11177</v>
      </c>
      <c r="G775" s="224">
        <v>10053</v>
      </c>
      <c r="H775" s="224"/>
      <c r="I775" s="224"/>
      <c r="J775" s="224"/>
      <c r="K775" s="224"/>
    </row>
    <row r="776" spans="1:11">
      <c r="A776" s="23" t="s">
        <v>456</v>
      </c>
      <c r="B776" s="23">
        <v>24</v>
      </c>
      <c r="C776" s="23">
        <v>27</v>
      </c>
      <c r="D776" s="224"/>
      <c r="E776" s="224">
        <v>665150</v>
      </c>
      <c r="F776" s="224">
        <v>65865</v>
      </c>
      <c r="G776" s="224">
        <v>303181</v>
      </c>
      <c r="H776" s="224"/>
      <c r="I776" s="224"/>
      <c r="J776" s="224"/>
      <c r="K776" s="224"/>
    </row>
    <row r="777" spans="1:11">
      <c r="A777" s="23" t="s">
        <v>456</v>
      </c>
      <c r="B777" s="23">
        <v>24</v>
      </c>
      <c r="C777" s="23">
        <v>31</v>
      </c>
      <c r="D777" s="224"/>
      <c r="E777" s="224">
        <v>1055</v>
      </c>
      <c r="F777" s="224"/>
      <c r="G777" s="224">
        <v>313</v>
      </c>
      <c r="H777" s="224"/>
      <c r="I777" s="224"/>
      <c r="J777" s="224"/>
      <c r="K777" s="224"/>
    </row>
    <row r="778" spans="1:11">
      <c r="A778" s="23" t="s">
        <v>458</v>
      </c>
      <c r="B778" s="23">
        <v>21</v>
      </c>
      <c r="C778" s="23">
        <v>21</v>
      </c>
      <c r="D778" s="224"/>
      <c r="E778" s="224">
        <v>573033</v>
      </c>
      <c r="F778" s="224">
        <v>217831</v>
      </c>
      <c r="G778" s="224">
        <v>283210</v>
      </c>
      <c r="H778" s="224">
        <v>9750</v>
      </c>
      <c r="I778" s="224">
        <v>21750</v>
      </c>
      <c r="J778" s="224">
        <v>5000</v>
      </c>
      <c r="K778" s="224"/>
    </row>
    <row r="779" spans="1:11">
      <c r="A779" s="23" t="s">
        <v>458</v>
      </c>
      <c r="B779" s="23">
        <v>21</v>
      </c>
      <c r="C779" s="23">
        <v>23</v>
      </c>
      <c r="D779" s="224"/>
      <c r="E779" s="224">
        <v>2650</v>
      </c>
      <c r="F779" s="224"/>
      <c r="G779" s="224">
        <v>585</v>
      </c>
      <c r="H779" s="224"/>
      <c r="I779" s="224"/>
      <c r="J779" s="224"/>
      <c r="K779" s="224"/>
    </row>
    <row r="780" spans="1:11">
      <c r="A780" s="23" t="s">
        <v>458</v>
      </c>
      <c r="B780" s="23">
        <v>21</v>
      </c>
      <c r="C780" s="23">
        <v>26</v>
      </c>
      <c r="D780" s="224"/>
      <c r="E780" s="224">
        <v>3206643</v>
      </c>
      <c r="F780" s="224">
        <v>339320</v>
      </c>
      <c r="G780" s="224">
        <v>1210697</v>
      </c>
      <c r="H780" s="224">
        <v>15050</v>
      </c>
      <c r="I780" s="224">
        <v>55100</v>
      </c>
      <c r="J780" s="224">
        <v>12500</v>
      </c>
      <c r="K780" s="224"/>
    </row>
    <row r="781" spans="1:11">
      <c r="A781" s="23" t="s">
        <v>458</v>
      </c>
      <c r="B781" s="23">
        <v>21</v>
      </c>
      <c r="C781" s="23">
        <v>27</v>
      </c>
      <c r="D781" s="224"/>
      <c r="E781" s="224">
        <v>8557663</v>
      </c>
      <c r="F781" s="224">
        <v>5749157</v>
      </c>
      <c r="G781" s="224">
        <v>6974291</v>
      </c>
      <c r="H781" s="224">
        <v>92730</v>
      </c>
      <c r="I781" s="224">
        <v>161000</v>
      </c>
      <c r="J781" s="224">
        <v>10000</v>
      </c>
      <c r="K781" s="224"/>
    </row>
    <row r="782" spans="1:11">
      <c r="A782" s="23" t="s">
        <v>458</v>
      </c>
      <c r="B782" s="23">
        <v>21</v>
      </c>
      <c r="C782" s="23">
        <v>31</v>
      </c>
      <c r="D782" s="224"/>
      <c r="E782" s="224">
        <v>228358</v>
      </c>
      <c r="F782" s="224"/>
      <c r="G782" s="224">
        <v>50825</v>
      </c>
      <c r="H782" s="224">
        <v>1000</v>
      </c>
      <c r="I782" s="224">
        <v>6000</v>
      </c>
      <c r="J782" s="224">
        <v>1750</v>
      </c>
      <c r="K782" s="224"/>
    </row>
    <row r="783" spans="1:11">
      <c r="A783" s="23" t="s">
        <v>458</v>
      </c>
      <c r="B783" s="23">
        <v>21</v>
      </c>
      <c r="C783" s="23">
        <v>34</v>
      </c>
      <c r="D783" s="224"/>
      <c r="E783" s="224">
        <v>171294</v>
      </c>
      <c r="F783" s="224"/>
      <c r="G783" s="224">
        <v>38141</v>
      </c>
      <c r="H783" s="224"/>
      <c r="I783" s="224"/>
      <c r="J783" s="224"/>
      <c r="K783" s="224"/>
    </row>
    <row r="784" spans="1:11">
      <c r="A784" s="23" t="s">
        <v>458</v>
      </c>
      <c r="B784" s="23">
        <v>23</v>
      </c>
      <c r="C784" s="23">
        <v>25</v>
      </c>
      <c r="D784" s="224"/>
      <c r="E784" s="224"/>
      <c r="F784" s="224">
        <v>160382</v>
      </c>
      <c r="G784" s="224">
        <v>105999</v>
      </c>
      <c r="H784" s="224"/>
      <c r="I784" s="224"/>
      <c r="J784" s="224"/>
      <c r="K784" s="224"/>
    </row>
    <row r="785" spans="1:11">
      <c r="A785" s="23" t="s">
        <v>458</v>
      </c>
      <c r="B785" s="23">
        <v>23</v>
      </c>
      <c r="C785" s="23">
        <v>26</v>
      </c>
      <c r="D785" s="224"/>
      <c r="E785" s="224">
        <v>75985</v>
      </c>
      <c r="F785" s="224"/>
      <c r="G785" s="224">
        <v>29564</v>
      </c>
      <c r="H785" s="224"/>
      <c r="I785" s="224"/>
      <c r="J785" s="224"/>
      <c r="K785" s="224"/>
    </row>
    <row r="786" spans="1:11">
      <c r="A786" s="23" t="s">
        <v>458</v>
      </c>
      <c r="B786" s="23">
        <v>23</v>
      </c>
      <c r="C786" s="23">
        <v>27</v>
      </c>
      <c r="D786" s="224"/>
      <c r="E786" s="224"/>
      <c r="F786" s="224">
        <v>200600</v>
      </c>
      <c r="G786" s="224">
        <v>38716</v>
      </c>
      <c r="H786" s="224"/>
      <c r="I786" s="224"/>
      <c r="J786" s="224"/>
      <c r="K786" s="224"/>
    </row>
    <row r="787" spans="1:11">
      <c r="A787" s="23" t="s">
        <v>458</v>
      </c>
      <c r="B787" s="23">
        <v>23</v>
      </c>
      <c r="C787" s="23">
        <v>31</v>
      </c>
      <c r="D787" s="224"/>
      <c r="E787" s="224">
        <v>2860</v>
      </c>
      <c r="F787" s="224"/>
      <c r="G787" s="224">
        <v>636</v>
      </c>
      <c r="H787" s="224"/>
      <c r="I787" s="224"/>
      <c r="J787" s="224"/>
      <c r="K787" s="224"/>
    </row>
    <row r="788" spans="1:11">
      <c r="A788" s="23" t="s">
        <v>458</v>
      </c>
      <c r="B788" s="23">
        <v>24</v>
      </c>
      <c r="C788" s="23">
        <v>21</v>
      </c>
      <c r="D788" s="224"/>
      <c r="E788" s="224"/>
      <c r="F788" s="224">
        <v>43208</v>
      </c>
      <c r="G788" s="224">
        <v>21002</v>
      </c>
      <c r="H788" s="224">
        <v>3000</v>
      </c>
      <c r="I788" s="224">
        <v>3000</v>
      </c>
      <c r="J788" s="224"/>
      <c r="K788" s="224"/>
    </row>
    <row r="789" spans="1:11">
      <c r="A789" s="23" t="s">
        <v>458</v>
      </c>
      <c r="B789" s="23">
        <v>24</v>
      </c>
      <c r="C789" s="23">
        <v>26</v>
      </c>
      <c r="D789" s="224"/>
      <c r="E789" s="224">
        <v>88058</v>
      </c>
      <c r="F789" s="224">
        <v>249835</v>
      </c>
      <c r="G789" s="224">
        <v>160935</v>
      </c>
      <c r="H789" s="224">
        <v>40000</v>
      </c>
      <c r="I789" s="224">
        <v>40200</v>
      </c>
      <c r="J789" s="224"/>
      <c r="K789" s="224"/>
    </row>
    <row r="790" spans="1:11">
      <c r="A790" s="23" t="s">
        <v>458</v>
      </c>
      <c r="B790" s="23">
        <v>24</v>
      </c>
      <c r="C790" s="23">
        <v>27</v>
      </c>
      <c r="D790" s="224">
        <v>2500</v>
      </c>
      <c r="E790" s="224">
        <v>990877</v>
      </c>
      <c r="F790" s="224">
        <v>501511</v>
      </c>
      <c r="G790" s="224">
        <v>654452</v>
      </c>
      <c r="H790" s="224">
        <v>25000</v>
      </c>
      <c r="I790" s="224">
        <v>565500</v>
      </c>
      <c r="J790" s="224">
        <v>1500</v>
      </c>
      <c r="K790" s="224"/>
    </row>
    <row r="791" spans="1:11">
      <c r="A791" s="23" t="s">
        <v>458</v>
      </c>
      <c r="B791" s="23">
        <v>24</v>
      </c>
      <c r="C791" s="23">
        <v>31</v>
      </c>
      <c r="D791" s="224"/>
      <c r="E791" s="224">
        <v>35734</v>
      </c>
      <c r="F791" s="224"/>
      <c r="G791" s="224">
        <v>7952</v>
      </c>
      <c r="H791" s="224"/>
      <c r="I791" s="224">
        <v>22200</v>
      </c>
      <c r="J791" s="224">
        <v>10946</v>
      </c>
      <c r="K791" s="224"/>
    </row>
    <row r="792" spans="1:11">
      <c r="A792" s="23" t="s">
        <v>458</v>
      </c>
      <c r="B792" s="23">
        <v>24</v>
      </c>
      <c r="C792" s="23">
        <v>32</v>
      </c>
      <c r="D792" s="224"/>
      <c r="E792" s="224"/>
      <c r="F792" s="224"/>
      <c r="G792" s="224"/>
      <c r="H792" s="224">
        <v>5000</v>
      </c>
      <c r="I792" s="224"/>
      <c r="J792" s="224"/>
      <c r="K792" s="224"/>
    </row>
    <row r="793" spans="1:11">
      <c r="A793" s="23" t="s">
        <v>458</v>
      </c>
      <c r="B793" s="23">
        <v>24</v>
      </c>
      <c r="C793" s="23">
        <v>33</v>
      </c>
      <c r="D793" s="224"/>
      <c r="E793" s="224"/>
      <c r="F793" s="224"/>
      <c r="G793" s="224"/>
      <c r="H793" s="224">
        <v>15000</v>
      </c>
      <c r="I793" s="224">
        <v>5000</v>
      </c>
      <c r="J793" s="224"/>
      <c r="K793" s="224"/>
    </row>
    <row r="794" spans="1:11">
      <c r="A794" s="23" t="s">
        <v>458</v>
      </c>
      <c r="B794" s="23">
        <v>29</v>
      </c>
      <c r="C794" s="23">
        <v>27</v>
      </c>
      <c r="D794" s="224"/>
      <c r="E794" s="224">
        <v>13000</v>
      </c>
      <c r="F794" s="224">
        <v>500</v>
      </c>
      <c r="G794" s="224">
        <v>2967</v>
      </c>
      <c r="H794" s="224"/>
      <c r="I794" s="224"/>
      <c r="J794" s="224"/>
      <c r="K794" s="224"/>
    </row>
    <row r="795" spans="1:11">
      <c r="A795" s="23" t="s">
        <v>460</v>
      </c>
      <c r="B795" s="23">
        <v>21</v>
      </c>
      <c r="C795" s="23">
        <v>21</v>
      </c>
      <c r="D795" s="224">
        <v>3000</v>
      </c>
      <c r="E795" s="224">
        <v>1037284</v>
      </c>
      <c r="F795" s="224">
        <v>540838</v>
      </c>
      <c r="G795" s="224">
        <v>523721</v>
      </c>
      <c r="H795" s="224">
        <v>40500</v>
      </c>
      <c r="I795" s="224">
        <v>375000</v>
      </c>
      <c r="J795" s="224">
        <v>20000</v>
      </c>
      <c r="K795" s="224"/>
    </row>
    <row r="796" spans="1:11">
      <c r="A796" s="23" t="s">
        <v>460</v>
      </c>
      <c r="B796" s="23">
        <v>21</v>
      </c>
      <c r="C796" s="23">
        <v>23</v>
      </c>
      <c r="D796" s="224"/>
      <c r="E796" s="224">
        <v>197665</v>
      </c>
      <c r="F796" s="224"/>
      <c r="G796" s="224">
        <v>53947</v>
      </c>
      <c r="H796" s="224"/>
      <c r="I796" s="224"/>
      <c r="J796" s="224"/>
      <c r="K796" s="224"/>
    </row>
    <row r="797" spans="1:11">
      <c r="A797" s="23" t="s">
        <v>460</v>
      </c>
      <c r="B797" s="23">
        <v>21</v>
      </c>
      <c r="C797" s="23">
        <v>24</v>
      </c>
      <c r="D797" s="224"/>
      <c r="E797" s="224">
        <v>82624</v>
      </c>
      <c r="F797" s="224"/>
      <c r="G797" s="224">
        <v>30710</v>
      </c>
      <c r="H797" s="224"/>
      <c r="I797" s="224"/>
      <c r="J797" s="224"/>
      <c r="K797" s="224"/>
    </row>
    <row r="798" spans="1:11">
      <c r="A798" s="23" t="s">
        <v>460</v>
      </c>
      <c r="B798" s="23">
        <v>21</v>
      </c>
      <c r="C798" s="23">
        <v>26</v>
      </c>
      <c r="D798" s="224"/>
      <c r="E798" s="224">
        <v>11835569</v>
      </c>
      <c r="F798" s="224">
        <v>341729</v>
      </c>
      <c r="G798" s="224">
        <v>4249621</v>
      </c>
      <c r="H798" s="224">
        <v>63300</v>
      </c>
      <c r="I798" s="224">
        <v>1860000</v>
      </c>
      <c r="J798" s="224"/>
      <c r="K798" s="224"/>
    </row>
    <row r="799" spans="1:11">
      <c r="A799" s="23" t="s">
        <v>460</v>
      </c>
      <c r="B799" s="23">
        <v>21</v>
      </c>
      <c r="C799" s="23">
        <v>27</v>
      </c>
      <c r="D799" s="224">
        <v>131000</v>
      </c>
      <c r="E799" s="224">
        <v>16203073</v>
      </c>
      <c r="F799" s="224">
        <v>10366743</v>
      </c>
      <c r="G799" s="224">
        <v>11305331</v>
      </c>
      <c r="H799" s="224">
        <v>110000</v>
      </c>
      <c r="I799" s="224">
        <v>2917000</v>
      </c>
      <c r="J799" s="224">
        <v>16200</v>
      </c>
      <c r="K799" s="224"/>
    </row>
    <row r="800" spans="1:11">
      <c r="A800" s="23" t="s">
        <v>460</v>
      </c>
      <c r="B800" s="23">
        <v>21</v>
      </c>
      <c r="C800" s="23">
        <v>31</v>
      </c>
      <c r="D800" s="224"/>
      <c r="E800" s="224">
        <v>520132</v>
      </c>
      <c r="F800" s="224">
        <v>258914</v>
      </c>
      <c r="G800" s="224">
        <v>170913</v>
      </c>
      <c r="H800" s="224"/>
      <c r="I800" s="224"/>
      <c r="J800" s="224"/>
      <c r="K800" s="224"/>
    </row>
    <row r="801" spans="1:11">
      <c r="A801" s="23" t="s">
        <v>460</v>
      </c>
      <c r="B801" s="23">
        <v>21</v>
      </c>
      <c r="C801" s="23">
        <v>33</v>
      </c>
      <c r="D801" s="224"/>
      <c r="E801" s="224"/>
      <c r="F801" s="224"/>
      <c r="G801" s="224"/>
      <c r="H801" s="224">
        <v>250000</v>
      </c>
      <c r="I801" s="224"/>
      <c r="J801" s="224"/>
      <c r="K801" s="224"/>
    </row>
    <row r="802" spans="1:11">
      <c r="A802" s="23" t="s">
        <v>460</v>
      </c>
      <c r="B802" s="23">
        <v>23</v>
      </c>
      <c r="C802" s="23">
        <v>27</v>
      </c>
      <c r="D802" s="224"/>
      <c r="E802" s="224"/>
      <c r="F802" s="224"/>
      <c r="G802" s="224"/>
      <c r="H802" s="224"/>
      <c r="I802" s="224">
        <v>300000</v>
      </c>
      <c r="J802" s="224"/>
      <c r="K802" s="224"/>
    </row>
    <row r="803" spans="1:11">
      <c r="A803" s="23" t="s">
        <v>460</v>
      </c>
      <c r="B803" s="23">
        <v>24</v>
      </c>
      <c r="C803" s="23">
        <v>24</v>
      </c>
      <c r="D803" s="224">
        <v>500</v>
      </c>
      <c r="E803" s="224"/>
      <c r="F803" s="224"/>
      <c r="G803" s="224"/>
      <c r="H803" s="224"/>
      <c r="I803" s="224"/>
      <c r="J803" s="224"/>
      <c r="K803" s="224"/>
    </row>
    <row r="804" spans="1:11">
      <c r="A804" s="23" t="s">
        <v>460</v>
      </c>
      <c r="B804" s="23">
        <v>24</v>
      </c>
      <c r="C804" s="23">
        <v>27</v>
      </c>
      <c r="D804" s="224"/>
      <c r="E804" s="224">
        <v>29210</v>
      </c>
      <c r="F804" s="224"/>
      <c r="G804" s="224">
        <v>10198</v>
      </c>
      <c r="H804" s="224">
        <v>136000</v>
      </c>
      <c r="I804" s="224">
        <v>4454566</v>
      </c>
      <c r="J804" s="224"/>
      <c r="K804" s="224"/>
    </row>
    <row r="805" spans="1:11">
      <c r="A805" s="23" t="s">
        <v>460</v>
      </c>
      <c r="B805" s="23">
        <v>24</v>
      </c>
      <c r="C805" s="23">
        <v>29</v>
      </c>
      <c r="D805" s="224"/>
      <c r="E805" s="224"/>
      <c r="F805" s="224"/>
      <c r="G805" s="224"/>
      <c r="H805" s="224"/>
      <c r="I805" s="224">
        <v>1300000</v>
      </c>
      <c r="J805" s="224"/>
      <c r="K805" s="224"/>
    </row>
    <row r="806" spans="1:11">
      <c r="A806" s="23" t="s">
        <v>460</v>
      </c>
      <c r="B806" s="23">
        <v>24</v>
      </c>
      <c r="C806" s="23">
        <v>31</v>
      </c>
      <c r="D806" s="224"/>
      <c r="E806" s="224">
        <v>422</v>
      </c>
      <c r="F806" s="224"/>
      <c r="G806" s="224">
        <v>104</v>
      </c>
      <c r="H806" s="224"/>
      <c r="I806" s="224"/>
      <c r="J806" s="224"/>
      <c r="K806" s="224"/>
    </row>
    <row r="807" spans="1:11">
      <c r="A807" s="23" t="s">
        <v>479</v>
      </c>
      <c r="B807" s="23">
        <v>21</v>
      </c>
      <c r="C807" s="23">
        <v>21</v>
      </c>
      <c r="D807" s="224"/>
      <c r="E807" s="224">
        <v>36318</v>
      </c>
      <c r="F807" s="224"/>
      <c r="G807" s="224">
        <v>14691</v>
      </c>
      <c r="H807" s="224"/>
      <c r="I807" s="224"/>
      <c r="J807" s="224">
        <v>500</v>
      </c>
      <c r="K807" s="224"/>
    </row>
    <row r="808" spans="1:11">
      <c r="A808" s="23" t="s">
        <v>479</v>
      </c>
      <c r="B808" s="23">
        <v>21</v>
      </c>
      <c r="C808" s="23">
        <v>23</v>
      </c>
      <c r="D808" s="224"/>
      <c r="E808" s="224"/>
      <c r="F808" s="224">
        <v>21837</v>
      </c>
      <c r="G808" s="224">
        <v>15367</v>
      </c>
      <c r="H808" s="224">
        <v>3000</v>
      </c>
      <c r="I808" s="224">
        <v>2000</v>
      </c>
      <c r="J808" s="224"/>
      <c r="K808" s="224"/>
    </row>
    <row r="809" spans="1:11">
      <c r="A809" s="23" t="s">
        <v>479</v>
      </c>
      <c r="B809" s="23">
        <v>21</v>
      </c>
      <c r="C809" s="23">
        <v>25</v>
      </c>
      <c r="D809" s="224"/>
      <c r="E809" s="224"/>
      <c r="F809" s="224"/>
      <c r="G809" s="224"/>
      <c r="H809" s="224">
        <v>500</v>
      </c>
      <c r="I809" s="224"/>
      <c r="J809" s="224"/>
      <c r="K809" s="224"/>
    </row>
    <row r="810" spans="1:11">
      <c r="A810" s="23" t="s">
        <v>479</v>
      </c>
      <c r="B810" s="23">
        <v>21</v>
      </c>
      <c r="C810" s="23">
        <v>26</v>
      </c>
      <c r="D810" s="224"/>
      <c r="E810" s="224">
        <v>156694</v>
      </c>
      <c r="F810" s="224">
        <v>39254</v>
      </c>
      <c r="G810" s="224">
        <v>82805</v>
      </c>
      <c r="H810" s="224">
        <v>2000</v>
      </c>
      <c r="I810" s="224">
        <v>79000</v>
      </c>
      <c r="J810" s="224"/>
      <c r="K810" s="224"/>
    </row>
    <row r="811" spans="1:11">
      <c r="A811" s="23" t="s">
        <v>479</v>
      </c>
      <c r="B811" s="23">
        <v>21</v>
      </c>
      <c r="C811" s="23">
        <v>27</v>
      </c>
      <c r="D811" s="224"/>
      <c r="E811" s="224">
        <v>415298</v>
      </c>
      <c r="F811" s="224">
        <v>341651</v>
      </c>
      <c r="G811" s="224">
        <v>396607</v>
      </c>
      <c r="H811" s="224">
        <v>7511</v>
      </c>
      <c r="I811" s="224">
        <v>3500</v>
      </c>
      <c r="J811" s="224">
        <v>8000</v>
      </c>
      <c r="K811" s="224"/>
    </row>
    <row r="812" spans="1:11">
      <c r="A812" s="23" t="s">
        <v>479</v>
      </c>
      <c r="B812" s="23">
        <v>21</v>
      </c>
      <c r="C812" s="23">
        <v>31</v>
      </c>
      <c r="D812" s="224"/>
      <c r="E812" s="224">
        <v>2779</v>
      </c>
      <c r="F812" s="224"/>
      <c r="G812" s="224">
        <v>631</v>
      </c>
      <c r="H812" s="224"/>
      <c r="I812" s="224">
        <v>3500</v>
      </c>
      <c r="J812" s="224">
        <v>2000</v>
      </c>
      <c r="K812" s="224"/>
    </row>
    <row r="813" spans="1:11">
      <c r="A813" s="23" t="s">
        <v>479</v>
      </c>
      <c r="B813" s="23">
        <v>21</v>
      </c>
      <c r="C813" s="23">
        <v>33</v>
      </c>
      <c r="D813" s="224"/>
      <c r="E813" s="224"/>
      <c r="F813" s="224"/>
      <c r="G813" s="224"/>
      <c r="H813" s="224">
        <v>2000</v>
      </c>
      <c r="I813" s="224">
        <v>4500</v>
      </c>
      <c r="J813" s="224"/>
      <c r="K813" s="224"/>
    </row>
    <row r="814" spans="1:11">
      <c r="A814" s="23" t="s">
        <v>479</v>
      </c>
      <c r="B814" s="23">
        <v>21</v>
      </c>
      <c r="C814" s="23">
        <v>34</v>
      </c>
      <c r="D814" s="224"/>
      <c r="E814" s="224">
        <v>8368</v>
      </c>
      <c r="F814" s="224"/>
      <c r="G814" s="224">
        <v>1901</v>
      </c>
      <c r="H814" s="224"/>
      <c r="I814" s="224"/>
      <c r="J814" s="224"/>
      <c r="K814" s="224"/>
    </row>
    <row r="815" spans="1:11">
      <c r="A815" s="23" t="s">
        <v>479</v>
      </c>
      <c r="B815" s="23">
        <v>23</v>
      </c>
      <c r="C815" s="23">
        <v>27</v>
      </c>
      <c r="D815" s="224"/>
      <c r="E815" s="224">
        <v>19600</v>
      </c>
      <c r="F815" s="224"/>
      <c r="G815" s="224">
        <v>9556</v>
      </c>
      <c r="H815" s="224"/>
      <c r="I815" s="224"/>
      <c r="J815" s="224"/>
      <c r="K815" s="224"/>
    </row>
    <row r="816" spans="1:11">
      <c r="A816" s="23" t="s">
        <v>479</v>
      </c>
      <c r="B816" s="23">
        <v>24</v>
      </c>
      <c r="C816" s="23">
        <v>27</v>
      </c>
      <c r="D816" s="224"/>
      <c r="E816" s="224">
        <v>29399</v>
      </c>
      <c r="F816" s="224">
        <v>126142</v>
      </c>
      <c r="G816" s="224">
        <v>103376</v>
      </c>
      <c r="H816" s="224"/>
      <c r="I816" s="224"/>
      <c r="J816" s="224"/>
      <c r="K816" s="224"/>
    </row>
    <row r="817" spans="1:11">
      <c r="A817" s="23" t="s">
        <v>481</v>
      </c>
      <c r="B817" s="23">
        <v>21</v>
      </c>
      <c r="C817" s="23">
        <v>21</v>
      </c>
      <c r="D817" s="224"/>
      <c r="E817" s="224">
        <v>117435</v>
      </c>
      <c r="F817" s="224">
        <v>44688</v>
      </c>
      <c r="G817" s="224">
        <v>58112</v>
      </c>
      <c r="H817" s="224">
        <v>750</v>
      </c>
      <c r="I817" s="224">
        <v>400</v>
      </c>
      <c r="J817" s="224"/>
      <c r="K817" s="224"/>
    </row>
    <row r="818" spans="1:11">
      <c r="A818" s="23" t="s">
        <v>481</v>
      </c>
      <c r="B818" s="23">
        <v>21</v>
      </c>
      <c r="C818" s="23">
        <v>25</v>
      </c>
      <c r="D818" s="224"/>
      <c r="E818" s="224"/>
      <c r="F818" s="224">
        <v>6081</v>
      </c>
      <c r="G818" s="224">
        <v>3972</v>
      </c>
      <c r="H818" s="224"/>
      <c r="I818" s="224"/>
      <c r="J818" s="224"/>
      <c r="K818" s="224"/>
    </row>
    <row r="819" spans="1:11">
      <c r="A819" s="23" t="s">
        <v>481</v>
      </c>
      <c r="B819" s="23">
        <v>21</v>
      </c>
      <c r="C819" s="23">
        <v>26</v>
      </c>
      <c r="D819" s="224"/>
      <c r="E819" s="224">
        <v>130824</v>
      </c>
      <c r="F819" s="224">
        <v>24649</v>
      </c>
      <c r="G819" s="224">
        <v>85526</v>
      </c>
      <c r="H819" s="224">
        <v>3800</v>
      </c>
      <c r="I819" s="224">
        <v>470000</v>
      </c>
      <c r="J819" s="224"/>
      <c r="K819" s="224"/>
    </row>
    <row r="820" spans="1:11">
      <c r="A820" s="23" t="s">
        <v>481</v>
      </c>
      <c r="B820" s="23">
        <v>21</v>
      </c>
      <c r="C820" s="23">
        <v>27</v>
      </c>
      <c r="D820" s="224"/>
      <c r="E820" s="224">
        <v>677082</v>
      </c>
      <c r="F820" s="224">
        <v>156263</v>
      </c>
      <c r="G820" s="224">
        <v>370141</v>
      </c>
      <c r="H820" s="224">
        <v>9750</v>
      </c>
      <c r="I820" s="224">
        <v>78250</v>
      </c>
      <c r="J820" s="224">
        <v>2750</v>
      </c>
      <c r="K820" s="224"/>
    </row>
    <row r="821" spans="1:11">
      <c r="A821" s="23" t="s">
        <v>481</v>
      </c>
      <c r="B821" s="23">
        <v>21</v>
      </c>
      <c r="C821" s="23">
        <v>31</v>
      </c>
      <c r="D821" s="224"/>
      <c r="E821" s="224">
        <v>9025</v>
      </c>
      <c r="F821" s="224"/>
      <c r="G821" s="224">
        <v>2313</v>
      </c>
      <c r="H821" s="224"/>
      <c r="I821" s="224">
        <v>8300</v>
      </c>
      <c r="J821" s="224">
        <v>2000</v>
      </c>
      <c r="K821" s="224"/>
    </row>
    <row r="822" spans="1:11">
      <c r="A822" s="23" t="s">
        <v>481</v>
      </c>
      <c r="B822" s="23">
        <v>21</v>
      </c>
      <c r="C822" s="23">
        <v>33</v>
      </c>
      <c r="D822" s="224"/>
      <c r="E822" s="224"/>
      <c r="F822" s="224"/>
      <c r="G822" s="224"/>
      <c r="H822" s="224">
        <v>500</v>
      </c>
      <c r="I822" s="224"/>
      <c r="J822" s="224"/>
      <c r="K822" s="224"/>
    </row>
    <row r="823" spans="1:11">
      <c r="A823" s="23" t="s">
        <v>481</v>
      </c>
      <c r="B823" s="23">
        <v>21</v>
      </c>
      <c r="C823" s="23">
        <v>34</v>
      </c>
      <c r="D823" s="224"/>
      <c r="E823" s="224">
        <v>13787</v>
      </c>
      <c r="F823" s="224"/>
      <c r="G823" s="224">
        <v>3528</v>
      </c>
      <c r="H823" s="224"/>
      <c r="I823" s="224"/>
      <c r="J823" s="224"/>
      <c r="K823" s="224"/>
    </row>
    <row r="824" spans="1:11">
      <c r="A824" s="23" t="s">
        <v>481</v>
      </c>
      <c r="B824" s="23">
        <v>24</v>
      </c>
      <c r="C824" s="23">
        <v>26</v>
      </c>
      <c r="D824" s="224"/>
      <c r="E824" s="224"/>
      <c r="F824" s="224">
        <v>91382</v>
      </c>
      <c r="G824" s="224">
        <v>54333</v>
      </c>
      <c r="H824" s="224"/>
      <c r="I824" s="224"/>
      <c r="J824" s="224"/>
      <c r="K824" s="224"/>
    </row>
    <row r="825" spans="1:11">
      <c r="A825" s="23" t="s">
        <v>481</v>
      </c>
      <c r="B825" s="23">
        <v>24</v>
      </c>
      <c r="C825" s="23">
        <v>27</v>
      </c>
      <c r="D825" s="224"/>
      <c r="E825" s="224"/>
      <c r="F825" s="224">
        <v>88816</v>
      </c>
      <c r="G825" s="224">
        <v>30340</v>
      </c>
      <c r="H825" s="224">
        <v>6000</v>
      </c>
      <c r="I825" s="224"/>
      <c r="J825" s="224"/>
      <c r="K825" s="224"/>
    </row>
    <row r="826" spans="1:11">
      <c r="A826" s="23" t="s">
        <v>481</v>
      </c>
      <c r="B826" s="23">
        <v>24</v>
      </c>
      <c r="C826" s="23">
        <v>31</v>
      </c>
      <c r="D826" s="224"/>
      <c r="E826" s="224">
        <v>733</v>
      </c>
      <c r="F826" s="224"/>
      <c r="G826" s="224">
        <v>174</v>
      </c>
      <c r="H826" s="224"/>
      <c r="I826" s="224"/>
      <c r="J826" s="224"/>
      <c r="K826" s="224"/>
    </row>
    <row r="827" spans="1:11">
      <c r="A827" s="23" t="s">
        <v>482</v>
      </c>
      <c r="B827" s="23">
        <v>21</v>
      </c>
      <c r="C827" s="23">
        <v>26</v>
      </c>
      <c r="D827" s="224"/>
      <c r="E827" s="224"/>
      <c r="F827" s="224">
        <v>35048</v>
      </c>
      <c r="G827" s="224">
        <v>19622</v>
      </c>
      <c r="H827" s="224">
        <v>1000</v>
      </c>
      <c r="I827" s="224">
        <v>180000</v>
      </c>
      <c r="J827" s="224"/>
      <c r="K827" s="224"/>
    </row>
    <row r="828" spans="1:11">
      <c r="A828" s="23" t="s">
        <v>482</v>
      </c>
      <c r="B828" s="23">
        <v>21</v>
      </c>
      <c r="C828" s="23">
        <v>27</v>
      </c>
      <c r="D828" s="224"/>
      <c r="E828" s="224">
        <v>287975</v>
      </c>
      <c r="F828" s="224">
        <v>92880</v>
      </c>
      <c r="G828" s="224">
        <v>200731</v>
      </c>
      <c r="H828" s="224">
        <v>10000</v>
      </c>
      <c r="I828" s="224">
        <v>15000</v>
      </c>
      <c r="J828" s="224">
        <v>1000</v>
      </c>
      <c r="K828" s="224"/>
    </row>
    <row r="829" spans="1:11">
      <c r="A829" s="23" t="s">
        <v>482</v>
      </c>
      <c r="B829" s="23">
        <v>21</v>
      </c>
      <c r="C829" s="23">
        <v>31</v>
      </c>
      <c r="D829" s="224"/>
      <c r="E829" s="224"/>
      <c r="F829" s="224"/>
      <c r="G829" s="224"/>
      <c r="H829" s="224"/>
      <c r="I829" s="224">
        <v>2000</v>
      </c>
      <c r="J829" s="224">
        <v>1000</v>
      </c>
      <c r="K829" s="224"/>
    </row>
    <row r="830" spans="1:11">
      <c r="A830" s="23" t="s">
        <v>482</v>
      </c>
      <c r="B830" s="23">
        <v>21</v>
      </c>
      <c r="C830" s="23">
        <v>34</v>
      </c>
      <c r="D830" s="224"/>
      <c r="E830" s="224">
        <v>4103</v>
      </c>
      <c r="F830" s="224"/>
      <c r="G830" s="224">
        <v>911</v>
      </c>
      <c r="H830" s="224"/>
      <c r="I830" s="224"/>
      <c r="J830" s="224"/>
      <c r="K830" s="224"/>
    </row>
    <row r="831" spans="1:11">
      <c r="A831" s="23" t="s">
        <v>482</v>
      </c>
      <c r="B831" s="23">
        <v>24</v>
      </c>
      <c r="C831" s="23">
        <v>27</v>
      </c>
      <c r="D831" s="224"/>
      <c r="E831" s="224"/>
      <c r="F831" s="224">
        <v>87820</v>
      </c>
      <c r="G831" s="224">
        <v>73247</v>
      </c>
      <c r="H831" s="224">
        <v>9450</v>
      </c>
      <c r="I831" s="224"/>
      <c r="J831" s="224"/>
      <c r="K831" s="224"/>
    </row>
    <row r="832" spans="1:11">
      <c r="A832" s="23" t="s">
        <v>293</v>
      </c>
      <c r="B832" s="23">
        <v>21</v>
      </c>
      <c r="C832" s="23">
        <v>29</v>
      </c>
      <c r="D832" s="224"/>
      <c r="E832" s="224"/>
      <c r="F832" s="224"/>
      <c r="G832" s="224"/>
      <c r="H832" s="224"/>
      <c r="I832" s="224">
        <v>144441</v>
      </c>
      <c r="J832" s="224"/>
      <c r="K832" s="224"/>
    </row>
    <row r="833" spans="1:11">
      <c r="A833" s="23" t="s">
        <v>121</v>
      </c>
      <c r="B833" s="23">
        <v>21</v>
      </c>
      <c r="C833" s="23">
        <v>21</v>
      </c>
      <c r="D833" s="224"/>
      <c r="E833" s="224">
        <v>89700</v>
      </c>
      <c r="F833" s="224"/>
      <c r="G833" s="224">
        <v>33043</v>
      </c>
      <c r="H833" s="224"/>
      <c r="I833" s="224"/>
      <c r="J833" s="224"/>
      <c r="K833" s="224"/>
    </row>
    <row r="834" spans="1:11">
      <c r="A834" s="23" t="s">
        <v>121</v>
      </c>
      <c r="B834" s="23">
        <v>21</v>
      </c>
      <c r="C834" s="23">
        <v>23</v>
      </c>
      <c r="D834" s="224"/>
      <c r="E834" s="224"/>
      <c r="F834" s="224">
        <v>36076</v>
      </c>
      <c r="G834" s="224">
        <v>20041</v>
      </c>
      <c r="H834" s="224"/>
      <c r="I834" s="224"/>
      <c r="J834" s="224"/>
      <c r="K834" s="224"/>
    </row>
    <row r="835" spans="1:11">
      <c r="A835" s="23" t="s">
        <v>121</v>
      </c>
      <c r="B835" s="23">
        <v>21</v>
      </c>
      <c r="C835" s="23">
        <v>26</v>
      </c>
      <c r="D835" s="224"/>
      <c r="E835" s="224">
        <v>155061</v>
      </c>
      <c r="F835" s="224"/>
      <c r="G835" s="224">
        <v>59962</v>
      </c>
      <c r="H835" s="224"/>
      <c r="I835" s="224"/>
      <c r="J835" s="224"/>
      <c r="K835" s="224"/>
    </row>
    <row r="836" spans="1:11">
      <c r="A836" s="23" t="s">
        <v>121</v>
      </c>
      <c r="B836" s="23">
        <v>21</v>
      </c>
      <c r="C836" s="23">
        <v>27</v>
      </c>
      <c r="D836" s="224"/>
      <c r="E836" s="224">
        <v>928256</v>
      </c>
      <c r="F836" s="224">
        <v>511056</v>
      </c>
      <c r="G836" s="224">
        <v>696757</v>
      </c>
      <c r="H836" s="224">
        <v>10750</v>
      </c>
      <c r="I836" s="224">
        <v>133967</v>
      </c>
      <c r="J836" s="224">
        <v>100</v>
      </c>
      <c r="K836" s="224"/>
    </row>
    <row r="837" spans="1:11">
      <c r="A837" s="23" t="s">
        <v>121</v>
      </c>
      <c r="B837" s="23">
        <v>21</v>
      </c>
      <c r="C837" s="23">
        <v>29</v>
      </c>
      <c r="D837" s="224"/>
      <c r="E837" s="224"/>
      <c r="F837" s="224"/>
      <c r="G837" s="224"/>
      <c r="H837" s="224"/>
      <c r="I837" s="224">
        <v>200000</v>
      </c>
      <c r="J837" s="224"/>
      <c r="K837" s="224"/>
    </row>
    <row r="838" spans="1:11">
      <c r="A838" s="23" t="s">
        <v>121</v>
      </c>
      <c r="B838" s="23">
        <v>21</v>
      </c>
      <c r="C838" s="23">
        <v>31</v>
      </c>
      <c r="D838" s="224"/>
      <c r="E838" s="224"/>
      <c r="F838" s="224"/>
      <c r="G838" s="224"/>
      <c r="H838" s="224"/>
      <c r="I838" s="224">
        <v>2000</v>
      </c>
      <c r="J838" s="224"/>
      <c r="K838" s="224"/>
    </row>
    <row r="839" spans="1:11">
      <c r="A839" s="23" t="s">
        <v>121</v>
      </c>
      <c r="B839" s="23">
        <v>24</v>
      </c>
      <c r="C839" s="23">
        <v>26</v>
      </c>
      <c r="D839" s="224"/>
      <c r="E839" s="224">
        <v>167644</v>
      </c>
      <c r="F839" s="224"/>
      <c r="G839" s="224">
        <v>63180</v>
      </c>
      <c r="H839" s="224"/>
      <c r="I839" s="224"/>
      <c r="J839" s="224"/>
      <c r="K839" s="224"/>
    </row>
    <row r="840" spans="1:11">
      <c r="A840" s="23" t="s">
        <v>121</v>
      </c>
      <c r="B840" s="23">
        <v>24</v>
      </c>
      <c r="C840" s="23">
        <v>27</v>
      </c>
      <c r="D840" s="224"/>
      <c r="E840" s="224">
        <v>4466</v>
      </c>
      <c r="F840" s="224">
        <v>15285</v>
      </c>
      <c r="G840" s="224">
        <v>15679</v>
      </c>
      <c r="H840" s="224"/>
      <c r="I840" s="224"/>
      <c r="J840" s="224"/>
      <c r="K840" s="224"/>
    </row>
    <row r="841" spans="1:11">
      <c r="A841" s="23" t="s">
        <v>121</v>
      </c>
      <c r="B841" s="23">
        <v>24</v>
      </c>
      <c r="C841" s="23">
        <v>29</v>
      </c>
      <c r="D841" s="224"/>
      <c r="E841" s="224"/>
      <c r="F841" s="224"/>
      <c r="G841" s="224"/>
      <c r="H841" s="224"/>
      <c r="I841" s="224">
        <v>33746</v>
      </c>
      <c r="J841" s="224"/>
      <c r="K841" s="224"/>
    </row>
    <row r="842" spans="1:11">
      <c r="A842" s="23" t="s">
        <v>295</v>
      </c>
      <c r="B842" s="23">
        <v>21</v>
      </c>
      <c r="C842" s="23">
        <v>21</v>
      </c>
      <c r="D842" s="224"/>
      <c r="E842" s="224">
        <v>66000</v>
      </c>
      <c r="F842" s="224">
        <v>18556</v>
      </c>
      <c r="G842" s="224">
        <v>32340</v>
      </c>
      <c r="H842" s="224"/>
      <c r="I842" s="224"/>
      <c r="J842" s="224"/>
      <c r="K842" s="224"/>
    </row>
    <row r="843" spans="1:11">
      <c r="A843" s="23" t="s">
        <v>295</v>
      </c>
      <c r="B843" s="23">
        <v>21</v>
      </c>
      <c r="C843" s="23">
        <v>26</v>
      </c>
      <c r="D843" s="224"/>
      <c r="E843" s="224">
        <v>201414</v>
      </c>
      <c r="F843" s="224"/>
      <c r="G843" s="224">
        <v>70073</v>
      </c>
      <c r="H843" s="224">
        <v>17698</v>
      </c>
      <c r="I843" s="224">
        <v>40000</v>
      </c>
      <c r="J843" s="224"/>
      <c r="K843" s="224"/>
    </row>
    <row r="844" spans="1:11">
      <c r="A844" s="23" t="s">
        <v>295</v>
      </c>
      <c r="B844" s="23">
        <v>21</v>
      </c>
      <c r="C844" s="23">
        <v>27</v>
      </c>
      <c r="D844" s="224"/>
      <c r="E844" s="224">
        <v>227184</v>
      </c>
      <c r="F844" s="224">
        <v>159340</v>
      </c>
      <c r="G844" s="224">
        <v>251730</v>
      </c>
      <c r="H844" s="224"/>
      <c r="I844" s="224">
        <v>102524</v>
      </c>
      <c r="J844" s="224"/>
      <c r="K844" s="224"/>
    </row>
    <row r="845" spans="1:11">
      <c r="A845" s="23" t="s">
        <v>295</v>
      </c>
      <c r="B845" s="23">
        <v>21</v>
      </c>
      <c r="C845" s="23">
        <v>29</v>
      </c>
      <c r="D845" s="224"/>
      <c r="E845" s="224"/>
      <c r="F845" s="224"/>
      <c r="G845" s="224"/>
      <c r="H845" s="224"/>
      <c r="I845" s="224">
        <v>50000</v>
      </c>
      <c r="J845" s="224"/>
      <c r="K845" s="224"/>
    </row>
    <row r="846" spans="1:11">
      <c r="A846" s="23" t="s">
        <v>295</v>
      </c>
      <c r="B846" s="23">
        <v>21</v>
      </c>
      <c r="C846" s="23">
        <v>31</v>
      </c>
      <c r="D846" s="224"/>
      <c r="E846" s="224">
        <v>10692</v>
      </c>
      <c r="F846" s="224"/>
      <c r="G846" s="224">
        <v>2449</v>
      </c>
      <c r="H846" s="224"/>
      <c r="I846" s="224"/>
      <c r="J846" s="224"/>
      <c r="K846" s="224"/>
    </row>
    <row r="847" spans="1:11">
      <c r="A847" s="23" t="s">
        <v>295</v>
      </c>
      <c r="B847" s="23">
        <v>24</v>
      </c>
      <c r="C847" s="23">
        <v>27</v>
      </c>
      <c r="D847" s="224"/>
      <c r="E847" s="224">
        <v>81095</v>
      </c>
      <c r="F847" s="224"/>
      <c r="G847" s="224">
        <v>30620</v>
      </c>
      <c r="H847" s="224"/>
      <c r="I847" s="224">
        <v>15872</v>
      </c>
      <c r="J847" s="224"/>
      <c r="K847" s="224"/>
    </row>
    <row r="848" spans="1:11">
      <c r="A848" s="23" t="s">
        <v>295</v>
      </c>
      <c r="B848" s="23">
        <v>24</v>
      </c>
      <c r="C848" s="23">
        <v>31</v>
      </c>
      <c r="D848" s="224"/>
      <c r="E848" s="224">
        <v>2785</v>
      </c>
      <c r="F848" s="224"/>
      <c r="G848" s="224">
        <v>628</v>
      </c>
      <c r="H848" s="224"/>
      <c r="I848" s="224"/>
      <c r="J848" s="224"/>
      <c r="K848" s="224"/>
    </row>
    <row r="849" spans="1:11">
      <c r="A849" s="23" t="s">
        <v>295</v>
      </c>
      <c r="B849" s="23">
        <v>29</v>
      </c>
      <c r="C849" s="23">
        <v>27</v>
      </c>
      <c r="D849" s="224"/>
      <c r="E849" s="224">
        <v>62438</v>
      </c>
      <c r="F849" s="224"/>
      <c r="G849" s="224">
        <v>5562</v>
      </c>
      <c r="H849" s="224"/>
      <c r="I849" s="224"/>
      <c r="J849" s="224"/>
      <c r="K849" s="224"/>
    </row>
    <row r="850" spans="1:11">
      <c r="A850" s="23" t="s">
        <v>123</v>
      </c>
      <c r="B850" s="23">
        <v>21</v>
      </c>
      <c r="C850" s="23">
        <v>27</v>
      </c>
      <c r="D850" s="224"/>
      <c r="E850" s="224">
        <v>53420</v>
      </c>
      <c r="F850" s="224">
        <v>21527</v>
      </c>
      <c r="G850" s="224">
        <v>31618</v>
      </c>
      <c r="H850" s="224">
        <v>1340</v>
      </c>
      <c r="I850" s="224">
        <v>46680</v>
      </c>
      <c r="J850" s="224"/>
      <c r="K850" s="224"/>
    </row>
    <row r="851" spans="1:11">
      <c r="A851" s="23" t="s">
        <v>123</v>
      </c>
      <c r="B851" s="23">
        <v>23</v>
      </c>
      <c r="C851" s="23">
        <v>27</v>
      </c>
      <c r="D851" s="224"/>
      <c r="E851" s="224"/>
      <c r="F851" s="224">
        <v>2345</v>
      </c>
      <c r="G851" s="224">
        <v>1731</v>
      </c>
      <c r="H851" s="224"/>
      <c r="I851" s="224"/>
      <c r="J851" s="224"/>
      <c r="K851" s="224"/>
    </row>
    <row r="852" spans="1:11">
      <c r="A852" s="23" t="s">
        <v>123</v>
      </c>
      <c r="B852" s="23">
        <v>24</v>
      </c>
      <c r="C852" s="23">
        <v>27</v>
      </c>
      <c r="D852" s="224"/>
      <c r="E852" s="224"/>
      <c r="F852" s="224">
        <v>12898</v>
      </c>
      <c r="G852" s="224">
        <v>9520</v>
      </c>
      <c r="H852" s="224"/>
      <c r="I852" s="224"/>
      <c r="J852" s="224"/>
      <c r="K852" s="224"/>
    </row>
    <row r="853" spans="1:11">
      <c r="A853" s="23" t="s">
        <v>124</v>
      </c>
      <c r="B853" s="23">
        <v>21</v>
      </c>
      <c r="C853" s="23">
        <v>21</v>
      </c>
      <c r="D853" s="224"/>
      <c r="E853" s="224">
        <v>85750</v>
      </c>
      <c r="F853" s="224">
        <v>54326</v>
      </c>
      <c r="G853" s="224">
        <v>49634</v>
      </c>
      <c r="H853" s="224">
        <v>1035</v>
      </c>
      <c r="I853" s="224">
        <v>2875</v>
      </c>
      <c r="J853" s="224">
        <v>250</v>
      </c>
      <c r="K853" s="224"/>
    </row>
    <row r="854" spans="1:11">
      <c r="A854" s="23" t="s">
        <v>124</v>
      </c>
      <c r="B854" s="23">
        <v>21</v>
      </c>
      <c r="C854" s="23">
        <v>26</v>
      </c>
      <c r="D854" s="224"/>
      <c r="E854" s="224">
        <v>235259</v>
      </c>
      <c r="F854" s="224">
        <v>36053</v>
      </c>
      <c r="G854" s="224">
        <v>110943</v>
      </c>
      <c r="H854" s="224">
        <v>1500</v>
      </c>
      <c r="I854" s="224">
        <v>74950</v>
      </c>
      <c r="J854" s="224">
        <v>800</v>
      </c>
      <c r="K854" s="224"/>
    </row>
    <row r="855" spans="1:11">
      <c r="A855" s="23" t="s">
        <v>124</v>
      </c>
      <c r="B855" s="23">
        <v>21</v>
      </c>
      <c r="C855" s="23">
        <v>27</v>
      </c>
      <c r="D855" s="224"/>
      <c r="E855" s="224">
        <v>545783</v>
      </c>
      <c r="F855" s="224">
        <v>277339</v>
      </c>
      <c r="G855" s="224">
        <v>378331</v>
      </c>
      <c r="H855" s="224">
        <v>9300</v>
      </c>
      <c r="I855" s="224">
        <v>13255</v>
      </c>
      <c r="J855" s="224"/>
      <c r="K855" s="224"/>
    </row>
    <row r="856" spans="1:11">
      <c r="A856" s="23" t="s">
        <v>124</v>
      </c>
      <c r="B856" s="23">
        <v>21</v>
      </c>
      <c r="C856" s="23">
        <v>31</v>
      </c>
      <c r="D856" s="224"/>
      <c r="E856" s="224">
        <v>8087</v>
      </c>
      <c r="F856" s="224">
        <v>1800</v>
      </c>
      <c r="G856" s="224">
        <v>3108</v>
      </c>
      <c r="H856" s="224">
        <v>2250</v>
      </c>
      <c r="I856" s="224">
        <v>550</v>
      </c>
      <c r="J856" s="224">
        <v>750</v>
      </c>
      <c r="K856" s="224"/>
    </row>
    <row r="857" spans="1:11">
      <c r="A857" s="23" t="s">
        <v>124</v>
      </c>
      <c r="B857" s="23">
        <v>21</v>
      </c>
      <c r="C857" s="23">
        <v>32</v>
      </c>
      <c r="D857" s="224"/>
      <c r="E857" s="224"/>
      <c r="F857" s="224"/>
      <c r="G857" s="224"/>
      <c r="H857" s="224"/>
      <c r="I857" s="224"/>
      <c r="J857" s="224"/>
      <c r="K857" s="224">
        <v>2500</v>
      </c>
    </row>
    <row r="858" spans="1:11">
      <c r="A858" s="23" t="s">
        <v>124</v>
      </c>
      <c r="B858" s="23">
        <v>21</v>
      </c>
      <c r="C858" s="23">
        <v>34</v>
      </c>
      <c r="D858" s="224"/>
      <c r="E858" s="224">
        <v>13756</v>
      </c>
      <c r="F858" s="224"/>
      <c r="G858" s="224">
        <v>1665</v>
      </c>
      <c r="H858" s="224"/>
      <c r="I858" s="224"/>
      <c r="J858" s="224"/>
      <c r="K858" s="224"/>
    </row>
    <row r="859" spans="1:11">
      <c r="A859" s="23" t="s">
        <v>124</v>
      </c>
      <c r="B859" s="23">
        <v>23</v>
      </c>
      <c r="C859" s="23">
        <v>21</v>
      </c>
      <c r="D859" s="224"/>
      <c r="E859" s="224"/>
      <c r="F859" s="224"/>
      <c r="G859" s="224"/>
      <c r="H859" s="224">
        <v>65825</v>
      </c>
      <c r="I859" s="224"/>
      <c r="J859" s="224"/>
      <c r="K859" s="224"/>
    </row>
    <row r="860" spans="1:11">
      <c r="A860" s="23" t="s">
        <v>124</v>
      </c>
      <c r="B860" s="23">
        <v>24</v>
      </c>
      <c r="C860" s="23">
        <v>21</v>
      </c>
      <c r="D860" s="224"/>
      <c r="E860" s="224"/>
      <c r="F860" s="224"/>
      <c r="G860" s="224"/>
      <c r="H860" s="224">
        <v>19497</v>
      </c>
      <c r="I860" s="224"/>
      <c r="J860" s="224"/>
      <c r="K860" s="224"/>
    </row>
    <row r="861" spans="1:11">
      <c r="A861" s="23" t="s">
        <v>124</v>
      </c>
      <c r="B861" s="23">
        <v>24</v>
      </c>
      <c r="C861" s="23">
        <v>27</v>
      </c>
      <c r="D861" s="224"/>
      <c r="E861" s="224"/>
      <c r="F861" s="224">
        <v>162966</v>
      </c>
      <c r="G861" s="224">
        <v>103911</v>
      </c>
      <c r="H861" s="224"/>
      <c r="I861" s="224"/>
      <c r="J861" s="224"/>
      <c r="K861" s="224"/>
    </row>
    <row r="862" spans="1:11">
      <c r="A862" s="23" t="s">
        <v>245</v>
      </c>
      <c r="B862" s="23">
        <v>21</v>
      </c>
      <c r="C862" s="23">
        <v>29</v>
      </c>
      <c r="D862" s="224"/>
      <c r="E862" s="224"/>
      <c r="F862" s="224"/>
      <c r="G862" s="224"/>
      <c r="H862" s="224"/>
      <c r="I862" s="224">
        <v>297841</v>
      </c>
      <c r="J862" s="224"/>
      <c r="K862" s="224"/>
    </row>
    <row r="863" spans="1:11">
      <c r="A863" s="23" t="s">
        <v>245</v>
      </c>
      <c r="B863" s="23">
        <v>29</v>
      </c>
      <c r="C863" s="23">
        <v>29</v>
      </c>
      <c r="D863" s="224"/>
      <c r="E863" s="224"/>
      <c r="F863" s="224"/>
      <c r="G863" s="224"/>
      <c r="H863" s="224"/>
      <c r="I863" s="224">
        <v>8000</v>
      </c>
      <c r="J863" s="224"/>
      <c r="K863" s="224"/>
    </row>
    <row r="864" spans="1:11">
      <c r="A864" s="23" t="s">
        <v>126</v>
      </c>
      <c r="B864" s="23">
        <v>21</v>
      </c>
      <c r="C864" s="23">
        <v>21</v>
      </c>
      <c r="D864" s="224"/>
      <c r="E864" s="224">
        <v>374137</v>
      </c>
      <c r="F864" s="224">
        <v>204853</v>
      </c>
      <c r="G864" s="224">
        <v>188340</v>
      </c>
      <c r="H864" s="224">
        <v>4400</v>
      </c>
      <c r="I864" s="224">
        <v>9350</v>
      </c>
      <c r="J864" s="224">
        <v>20400</v>
      </c>
      <c r="K864" s="224"/>
    </row>
    <row r="865" spans="1:11">
      <c r="A865" s="23" t="s">
        <v>126</v>
      </c>
      <c r="B865" s="23">
        <v>21</v>
      </c>
      <c r="C865" s="23">
        <v>24</v>
      </c>
      <c r="D865" s="224"/>
      <c r="E865" s="224"/>
      <c r="F865" s="224">
        <v>21183</v>
      </c>
      <c r="G865" s="224">
        <v>10444</v>
      </c>
      <c r="H865" s="224"/>
      <c r="I865" s="224"/>
      <c r="J865" s="224"/>
      <c r="K865" s="224"/>
    </row>
    <row r="866" spans="1:11">
      <c r="A866" s="23" t="s">
        <v>126</v>
      </c>
      <c r="B866" s="23">
        <v>21</v>
      </c>
      <c r="C866" s="23">
        <v>26</v>
      </c>
      <c r="D866" s="224"/>
      <c r="E866" s="224">
        <v>4088089</v>
      </c>
      <c r="F866" s="224">
        <v>376558</v>
      </c>
      <c r="G866" s="224">
        <v>1547168</v>
      </c>
      <c r="H866" s="224">
        <v>5000</v>
      </c>
      <c r="I866" s="224">
        <v>1302900</v>
      </c>
      <c r="J866" s="224">
        <v>8700</v>
      </c>
      <c r="K866" s="224"/>
    </row>
    <row r="867" spans="1:11">
      <c r="A867" s="23" t="s">
        <v>126</v>
      </c>
      <c r="B867" s="23">
        <v>21</v>
      </c>
      <c r="C867" s="23">
        <v>27</v>
      </c>
      <c r="D867" s="224"/>
      <c r="E867" s="224">
        <v>7364472</v>
      </c>
      <c r="F867" s="224">
        <v>2644288</v>
      </c>
      <c r="G867" s="224">
        <v>4141368</v>
      </c>
      <c r="H867" s="224">
        <v>105850</v>
      </c>
      <c r="I867" s="224">
        <v>236012</v>
      </c>
      <c r="J867" s="224">
        <v>2450</v>
      </c>
      <c r="K867" s="224">
        <v>7200</v>
      </c>
    </row>
    <row r="868" spans="1:11">
      <c r="A868" s="23" t="s">
        <v>126</v>
      </c>
      <c r="B868" s="23">
        <v>21</v>
      </c>
      <c r="C868" s="23">
        <v>29</v>
      </c>
      <c r="D868" s="224"/>
      <c r="E868" s="224"/>
      <c r="F868" s="224"/>
      <c r="G868" s="224"/>
      <c r="H868" s="224"/>
      <c r="I868" s="224">
        <v>82500</v>
      </c>
      <c r="J868" s="224"/>
      <c r="K868" s="224"/>
    </row>
    <row r="869" spans="1:11">
      <c r="A869" s="23" t="s">
        <v>126</v>
      </c>
      <c r="B869" s="23">
        <v>21</v>
      </c>
      <c r="C869" s="23">
        <v>31</v>
      </c>
      <c r="D869" s="224"/>
      <c r="E869" s="224">
        <v>106944</v>
      </c>
      <c r="F869" s="224"/>
      <c r="G869" s="224">
        <v>24029</v>
      </c>
      <c r="H869" s="224">
        <v>3000</v>
      </c>
      <c r="I869" s="224">
        <v>9400</v>
      </c>
      <c r="J869" s="224">
        <v>1900</v>
      </c>
      <c r="K869" s="224"/>
    </row>
    <row r="870" spans="1:11">
      <c r="A870" s="23" t="s">
        <v>126</v>
      </c>
      <c r="B870" s="23">
        <v>21</v>
      </c>
      <c r="C870" s="23">
        <v>32</v>
      </c>
      <c r="D870" s="224"/>
      <c r="E870" s="224"/>
      <c r="F870" s="224"/>
      <c r="G870" s="224"/>
      <c r="H870" s="224">
        <v>3500</v>
      </c>
      <c r="I870" s="224">
        <v>25000</v>
      </c>
      <c r="J870" s="224"/>
      <c r="K870" s="224"/>
    </row>
    <row r="871" spans="1:11">
      <c r="A871" s="23" t="s">
        <v>126</v>
      </c>
      <c r="B871" s="23">
        <v>21</v>
      </c>
      <c r="C871" s="23">
        <v>33</v>
      </c>
      <c r="D871" s="224"/>
      <c r="E871" s="224"/>
      <c r="F871" s="224"/>
      <c r="G871" s="224"/>
      <c r="H871" s="224">
        <v>500</v>
      </c>
      <c r="I871" s="224"/>
      <c r="J871" s="224"/>
      <c r="K871" s="224"/>
    </row>
    <row r="872" spans="1:11">
      <c r="A872" s="23" t="s">
        <v>126</v>
      </c>
      <c r="B872" s="23">
        <v>21</v>
      </c>
      <c r="C872" s="23">
        <v>34</v>
      </c>
      <c r="D872" s="224"/>
      <c r="E872" s="224">
        <v>160415</v>
      </c>
      <c r="F872" s="224"/>
      <c r="G872" s="224">
        <v>36042</v>
      </c>
      <c r="H872" s="224"/>
      <c r="I872" s="224"/>
      <c r="J872" s="224"/>
      <c r="K872" s="224"/>
    </row>
    <row r="873" spans="1:11">
      <c r="A873" s="23" t="s">
        <v>126</v>
      </c>
      <c r="B873" s="23">
        <v>24</v>
      </c>
      <c r="C873" s="23">
        <v>26</v>
      </c>
      <c r="D873" s="224"/>
      <c r="E873" s="224"/>
      <c r="F873" s="224"/>
      <c r="G873" s="224"/>
      <c r="H873" s="224"/>
      <c r="I873" s="224">
        <v>500000</v>
      </c>
      <c r="J873" s="224"/>
      <c r="K873" s="224"/>
    </row>
    <row r="874" spans="1:11">
      <c r="A874" s="23" t="s">
        <v>126</v>
      </c>
      <c r="B874" s="23">
        <v>24</v>
      </c>
      <c r="C874" s="23">
        <v>27</v>
      </c>
      <c r="D874" s="224"/>
      <c r="E874" s="224"/>
      <c r="F874" s="224">
        <v>960043</v>
      </c>
      <c r="G874" s="224">
        <v>611539</v>
      </c>
      <c r="H874" s="224">
        <v>76124</v>
      </c>
      <c r="I874" s="224">
        <v>1292128</v>
      </c>
      <c r="J874" s="224"/>
      <c r="K874" s="224"/>
    </row>
    <row r="875" spans="1:11">
      <c r="A875" s="23" t="s">
        <v>128</v>
      </c>
      <c r="B875" s="23">
        <v>21</v>
      </c>
      <c r="C875" s="23">
        <v>21</v>
      </c>
      <c r="D875" s="224">
        <v>2000</v>
      </c>
      <c r="E875" s="224">
        <v>1219705</v>
      </c>
      <c r="F875" s="224">
        <v>905132</v>
      </c>
      <c r="G875" s="224">
        <v>669861</v>
      </c>
      <c r="H875" s="224">
        <v>9500</v>
      </c>
      <c r="I875" s="224">
        <v>7978</v>
      </c>
      <c r="J875" s="224">
        <v>3200</v>
      </c>
      <c r="K875" s="224"/>
    </row>
    <row r="876" spans="1:11">
      <c r="A876" s="23" t="s">
        <v>128</v>
      </c>
      <c r="B876" s="23">
        <v>21</v>
      </c>
      <c r="C876" s="23">
        <v>23</v>
      </c>
      <c r="D876" s="224"/>
      <c r="E876" s="224"/>
      <c r="F876" s="224">
        <v>40288</v>
      </c>
      <c r="G876" s="224">
        <v>23627</v>
      </c>
      <c r="H876" s="224"/>
      <c r="I876" s="224"/>
      <c r="J876" s="224"/>
      <c r="K876" s="224"/>
    </row>
    <row r="877" spans="1:11">
      <c r="A877" s="23" t="s">
        <v>128</v>
      </c>
      <c r="B877" s="23">
        <v>21</v>
      </c>
      <c r="C877" s="23">
        <v>24</v>
      </c>
      <c r="D877" s="224"/>
      <c r="E877" s="224"/>
      <c r="F877" s="224"/>
      <c r="G877" s="224"/>
      <c r="H877" s="224">
        <v>94512</v>
      </c>
      <c r="I877" s="224"/>
      <c r="J877" s="224"/>
      <c r="K877" s="224"/>
    </row>
    <row r="878" spans="1:11">
      <c r="A878" s="23" t="s">
        <v>128</v>
      </c>
      <c r="B878" s="23">
        <v>21</v>
      </c>
      <c r="C878" s="23">
        <v>26</v>
      </c>
      <c r="D878" s="224"/>
      <c r="E878" s="224">
        <v>10276725</v>
      </c>
      <c r="F878" s="224">
        <v>485877</v>
      </c>
      <c r="G878" s="224">
        <v>3848632</v>
      </c>
      <c r="H878" s="224">
        <v>33500</v>
      </c>
      <c r="I878" s="224">
        <v>175000</v>
      </c>
      <c r="J878" s="224">
        <v>9800</v>
      </c>
      <c r="K878" s="224"/>
    </row>
    <row r="879" spans="1:11">
      <c r="A879" s="23" t="s">
        <v>128</v>
      </c>
      <c r="B879" s="23">
        <v>21</v>
      </c>
      <c r="C879" s="23">
        <v>27</v>
      </c>
      <c r="D879" s="224">
        <v>246356</v>
      </c>
      <c r="E879" s="224">
        <v>14078727</v>
      </c>
      <c r="F879" s="224">
        <v>12883329</v>
      </c>
      <c r="G879" s="224">
        <v>13008113</v>
      </c>
      <c r="H879" s="224">
        <v>65244</v>
      </c>
      <c r="I879" s="224">
        <v>4710993</v>
      </c>
      <c r="J879" s="224">
        <v>17300</v>
      </c>
      <c r="K879" s="224"/>
    </row>
    <row r="880" spans="1:11">
      <c r="A880" s="23" t="s">
        <v>128</v>
      </c>
      <c r="B880" s="23">
        <v>21</v>
      </c>
      <c r="C880" s="23">
        <v>29</v>
      </c>
      <c r="D880" s="224"/>
      <c r="E880" s="224"/>
      <c r="F880" s="224"/>
      <c r="G880" s="224"/>
      <c r="H880" s="224"/>
      <c r="I880" s="224">
        <v>100000</v>
      </c>
      <c r="J880" s="224"/>
      <c r="K880" s="224"/>
    </row>
    <row r="881" spans="1:11">
      <c r="A881" s="23" t="s">
        <v>128</v>
      </c>
      <c r="B881" s="23">
        <v>21</v>
      </c>
      <c r="C881" s="23">
        <v>31</v>
      </c>
      <c r="D881" s="224">
        <v>4900</v>
      </c>
      <c r="E881" s="224">
        <v>1464112</v>
      </c>
      <c r="F881" s="224">
        <v>79157</v>
      </c>
      <c r="G881" s="224">
        <v>455900</v>
      </c>
      <c r="H881" s="224"/>
      <c r="I881" s="224"/>
      <c r="J881" s="224"/>
      <c r="K881" s="224"/>
    </row>
    <row r="882" spans="1:11">
      <c r="A882" s="23" t="s">
        <v>128</v>
      </c>
      <c r="B882" s="23">
        <v>21</v>
      </c>
      <c r="C882" s="23">
        <v>33</v>
      </c>
      <c r="D882" s="224"/>
      <c r="E882" s="224"/>
      <c r="F882" s="224"/>
      <c r="G882" s="224"/>
      <c r="H882" s="224">
        <v>90096</v>
      </c>
      <c r="I882" s="224"/>
      <c r="J882" s="224"/>
      <c r="K882" s="224"/>
    </row>
    <row r="883" spans="1:11">
      <c r="A883" s="23" t="s">
        <v>128</v>
      </c>
      <c r="B883" s="23">
        <v>24</v>
      </c>
      <c r="C883" s="23">
        <v>21</v>
      </c>
      <c r="D883" s="224"/>
      <c r="E883" s="224"/>
      <c r="F883" s="224">
        <v>73510</v>
      </c>
      <c r="G883" s="224">
        <v>26919</v>
      </c>
      <c r="H883" s="224"/>
      <c r="I883" s="224"/>
      <c r="J883" s="224"/>
      <c r="K883" s="224"/>
    </row>
    <row r="884" spans="1:11">
      <c r="A884" s="23" t="s">
        <v>128</v>
      </c>
      <c r="B884" s="23">
        <v>24</v>
      </c>
      <c r="C884" s="23">
        <v>26</v>
      </c>
      <c r="D884" s="224"/>
      <c r="E884" s="224">
        <v>123402</v>
      </c>
      <c r="F884" s="224">
        <v>317938</v>
      </c>
      <c r="G884" s="224">
        <v>168269</v>
      </c>
      <c r="H884" s="224"/>
      <c r="I884" s="224"/>
      <c r="J884" s="224"/>
      <c r="K884" s="224"/>
    </row>
    <row r="885" spans="1:11">
      <c r="A885" s="23" t="s">
        <v>128</v>
      </c>
      <c r="B885" s="23">
        <v>24</v>
      </c>
      <c r="C885" s="23">
        <v>27</v>
      </c>
      <c r="D885" s="224"/>
      <c r="E885" s="224">
        <v>2031353</v>
      </c>
      <c r="F885" s="224">
        <v>3284</v>
      </c>
      <c r="G885" s="224">
        <v>723385</v>
      </c>
      <c r="H885" s="224">
        <v>17991</v>
      </c>
      <c r="I885" s="224">
        <v>4303574</v>
      </c>
      <c r="J885" s="224"/>
      <c r="K885" s="224"/>
    </row>
    <row r="886" spans="1:11">
      <c r="A886" s="23" t="s">
        <v>130</v>
      </c>
      <c r="B886" s="23">
        <v>21</v>
      </c>
      <c r="C886" s="23">
        <v>21</v>
      </c>
      <c r="D886" s="224"/>
      <c r="E886" s="224">
        <v>96491</v>
      </c>
      <c r="F886" s="224">
        <v>78604</v>
      </c>
      <c r="G886" s="224">
        <v>56348</v>
      </c>
      <c r="H886" s="224"/>
      <c r="I886" s="224">
        <v>7864</v>
      </c>
      <c r="J886" s="224"/>
      <c r="K886" s="224"/>
    </row>
    <row r="887" spans="1:11">
      <c r="A887" s="23" t="s">
        <v>130</v>
      </c>
      <c r="B887" s="23">
        <v>21</v>
      </c>
      <c r="C887" s="23">
        <v>26</v>
      </c>
      <c r="D887" s="224"/>
      <c r="E887" s="224">
        <v>354383</v>
      </c>
      <c r="F887" s="224">
        <v>141407</v>
      </c>
      <c r="G887" s="224">
        <v>198162</v>
      </c>
      <c r="H887" s="224">
        <v>1000</v>
      </c>
      <c r="I887" s="224">
        <v>6500</v>
      </c>
      <c r="J887" s="224"/>
      <c r="K887" s="224"/>
    </row>
    <row r="888" spans="1:11">
      <c r="A888" s="23" t="s">
        <v>130</v>
      </c>
      <c r="B888" s="23">
        <v>21</v>
      </c>
      <c r="C888" s="23">
        <v>27</v>
      </c>
      <c r="D888" s="224"/>
      <c r="E888" s="224">
        <v>1631726</v>
      </c>
      <c r="F888" s="224">
        <v>937331</v>
      </c>
      <c r="G888" s="224">
        <v>1128993</v>
      </c>
      <c r="H888" s="224">
        <v>16725</v>
      </c>
      <c r="I888" s="224">
        <v>917000</v>
      </c>
      <c r="J888" s="224"/>
      <c r="K888" s="224"/>
    </row>
    <row r="889" spans="1:11">
      <c r="A889" s="23" t="s">
        <v>130</v>
      </c>
      <c r="B889" s="23">
        <v>21</v>
      </c>
      <c r="C889" s="23">
        <v>31</v>
      </c>
      <c r="D889" s="224"/>
      <c r="E889" s="224">
        <v>134492</v>
      </c>
      <c r="F889" s="224"/>
      <c r="G889" s="224">
        <v>29744</v>
      </c>
      <c r="H889" s="224"/>
      <c r="I889" s="224"/>
      <c r="J889" s="224"/>
      <c r="K889" s="224"/>
    </row>
    <row r="890" spans="1:11">
      <c r="A890" s="23" t="s">
        <v>130</v>
      </c>
      <c r="B890" s="23">
        <v>21</v>
      </c>
      <c r="C890" s="23">
        <v>33</v>
      </c>
      <c r="D890" s="224"/>
      <c r="E890" s="224"/>
      <c r="F890" s="224"/>
      <c r="G890" s="224"/>
      <c r="H890" s="224">
        <v>500</v>
      </c>
      <c r="I890" s="224"/>
      <c r="J890" s="224"/>
      <c r="K890" s="224"/>
    </row>
    <row r="891" spans="1:11">
      <c r="A891" s="23" t="s">
        <v>130</v>
      </c>
      <c r="B891" s="23">
        <v>21</v>
      </c>
      <c r="C891" s="23">
        <v>34</v>
      </c>
      <c r="D891" s="224"/>
      <c r="E891" s="224">
        <v>24379</v>
      </c>
      <c r="F891" s="224"/>
      <c r="G891" s="224">
        <v>9012</v>
      </c>
      <c r="H891" s="224"/>
      <c r="I891" s="224"/>
      <c r="J891" s="224"/>
      <c r="K891" s="224"/>
    </row>
    <row r="892" spans="1:11">
      <c r="A892" s="23" t="s">
        <v>130</v>
      </c>
      <c r="B892" s="23">
        <v>24</v>
      </c>
      <c r="C892" s="23">
        <v>26</v>
      </c>
      <c r="D892" s="224"/>
      <c r="E892" s="224">
        <v>283658</v>
      </c>
      <c r="F892" s="224"/>
      <c r="G892" s="224">
        <v>102834</v>
      </c>
      <c r="H892" s="224"/>
      <c r="I892" s="224"/>
      <c r="J892" s="224"/>
      <c r="K892" s="224"/>
    </row>
    <row r="893" spans="1:11">
      <c r="A893" s="23" t="s">
        <v>130</v>
      </c>
      <c r="B893" s="23">
        <v>24</v>
      </c>
      <c r="C893" s="23">
        <v>27</v>
      </c>
      <c r="D893" s="224"/>
      <c r="E893" s="224">
        <v>11292</v>
      </c>
      <c r="F893" s="224">
        <v>170094</v>
      </c>
      <c r="G893" s="224">
        <v>100052</v>
      </c>
      <c r="H893" s="224"/>
      <c r="I893" s="224"/>
      <c r="J893" s="224"/>
      <c r="K893" s="224"/>
    </row>
    <row r="894" spans="1:11">
      <c r="A894" s="23" t="s">
        <v>130</v>
      </c>
      <c r="B894" s="23">
        <v>24</v>
      </c>
      <c r="C894" s="23">
        <v>31</v>
      </c>
      <c r="D894" s="224"/>
      <c r="E894" s="224">
        <v>20643</v>
      </c>
      <c r="F894" s="224"/>
      <c r="G894" s="224">
        <v>4304</v>
      </c>
      <c r="H894" s="224"/>
      <c r="I894" s="224"/>
      <c r="J894" s="224"/>
      <c r="K894" s="224"/>
    </row>
    <row r="895" spans="1:11">
      <c r="A895" s="23" t="s">
        <v>132</v>
      </c>
      <c r="B895" s="23">
        <v>21</v>
      </c>
      <c r="C895" s="23">
        <v>26</v>
      </c>
      <c r="D895" s="224"/>
      <c r="E895" s="224"/>
      <c r="F895" s="224"/>
      <c r="G895" s="224"/>
      <c r="H895" s="224"/>
      <c r="I895" s="224">
        <v>10000</v>
      </c>
      <c r="J895" s="224">
        <v>500</v>
      </c>
      <c r="K895" s="224"/>
    </row>
    <row r="896" spans="1:11">
      <c r="A896" s="23" t="s">
        <v>132</v>
      </c>
      <c r="B896" s="23">
        <v>21</v>
      </c>
      <c r="C896" s="23">
        <v>27</v>
      </c>
      <c r="D896" s="224"/>
      <c r="E896" s="224">
        <v>48734</v>
      </c>
      <c r="F896" s="224">
        <v>20530</v>
      </c>
      <c r="G896" s="224">
        <v>22897</v>
      </c>
      <c r="H896" s="224">
        <v>800</v>
      </c>
      <c r="I896" s="224"/>
      <c r="J896" s="224">
        <v>500</v>
      </c>
      <c r="K896" s="224"/>
    </row>
    <row r="897" spans="1:11">
      <c r="A897" s="23" t="s">
        <v>132</v>
      </c>
      <c r="B897" s="23">
        <v>23</v>
      </c>
      <c r="C897" s="23">
        <v>26</v>
      </c>
      <c r="D897" s="224"/>
      <c r="E897" s="224"/>
      <c r="F897" s="224"/>
      <c r="G897" s="224"/>
      <c r="H897" s="224"/>
      <c r="I897" s="224">
        <v>1926</v>
      </c>
      <c r="J897" s="224"/>
      <c r="K897" s="224"/>
    </row>
    <row r="898" spans="1:11">
      <c r="A898" s="23" t="s">
        <v>132</v>
      </c>
      <c r="B898" s="23">
        <v>24</v>
      </c>
      <c r="C898" s="23">
        <v>26</v>
      </c>
      <c r="D898" s="224"/>
      <c r="E898" s="224"/>
      <c r="F898" s="224"/>
      <c r="G898" s="224"/>
      <c r="H898" s="224"/>
      <c r="I898" s="224">
        <v>6656</v>
      </c>
      <c r="J898" s="224"/>
      <c r="K898" s="224"/>
    </row>
    <row r="899" spans="1:11">
      <c r="A899" s="23" t="s">
        <v>462</v>
      </c>
      <c r="B899" s="23">
        <v>21</v>
      </c>
      <c r="C899" s="23">
        <v>21</v>
      </c>
      <c r="D899" s="224"/>
      <c r="E899" s="224">
        <v>70843</v>
      </c>
      <c r="F899" s="224"/>
      <c r="G899" s="224">
        <v>26702</v>
      </c>
      <c r="H899" s="224">
        <v>100</v>
      </c>
      <c r="I899" s="224"/>
      <c r="J899" s="224"/>
      <c r="K899" s="224"/>
    </row>
    <row r="900" spans="1:11">
      <c r="A900" s="23" t="s">
        <v>462</v>
      </c>
      <c r="B900" s="23">
        <v>21</v>
      </c>
      <c r="C900" s="23">
        <v>26</v>
      </c>
      <c r="D900" s="224"/>
      <c r="E900" s="224">
        <v>78025</v>
      </c>
      <c r="F900" s="224"/>
      <c r="G900" s="224">
        <v>18237</v>
      </c>
      <c r="H900" s="224">
        <v>2000</v>
      </c>
      <c r="I900" s="224">
        <v>85000</v>
      </c>
      <c r="J900" s="224"/>
      <c r="K900" s="224"/>
    </row>
    <row r="901" spans="1:11">
      <c r="A901" s="23" t="s">
        <v>462</v>
      </c>
      <c r="B901" s="23">
        <v>21</v>
      </c>
      <c r="C901" s="23">
        <v>27</v>
      </c>
      <c r="D901" s="224"/>
      <c r="E901" s="224">
        <v>159131</v>
      </c>
      <c r="F901" s="224">
        <v>146783</v>
      </c>
      <c r="G901" s="224">
        <v>161329</v>
      </c>
      <c r="H901" s="224">
        <v>4000</v>
      </c>
      <c r="I901" s="224">
        <v>8000</v>
      </c>
      <c r="J901" s="224"/>
      <c r="K901" s="224"/>
    </row>
    <row r="902" spans="1:11">
      <c r="A902" s="23" t="s">
        <v>462</v>
      </c>
      <c r="B902" s="23">
        <v>21</v>
      </c>
      <c r="C902" s="23">
        <v>31</v>
      </c>
      <c r="D902" s="224"/>
      <c r="E902" s="224">
        <v>1900</v>
      </c>
      <c r="F902" s="224"/>
      <c r="G902" s="224">
        <v>146</v>
      </c>
      <c r="H902" s="224"/>
      <c r="I902" s="224">
        <v>2000</v>
      </c>
      <c r="J902" s="224">
        <v>300</v>
      </c>
      <c r="K902" s="224"/>
    </row>
    <row r="903" spans="1:11">
      <c r="A903" s="23" t="s">
        <v>462</v>
      </c>
      <c r="B903" s="23">
        <v>21</v>
      </c>
      <c r="C903" s="23">
        <v>33</v>
      </c>
      <c r="D903" s="224"/>
      <c r="E903" s="224"/>
      <c r="F903" s="224"/>
      <c r="G903" s="224"/>
      <c r="H903" s="224">
        <v>2600</v>
      </c>
      <c r="I903" s="224"/>
      <c r="J903" s="224"/>
      <c r="K903" s="224"/>
    </row>
    <row r="904" spans="1:11">
      <c r="A904" s="23" t="s">
        <v>462</v>
      </c>
      <c r="B904" s="23">
        <v>23</v>
      </c>
      <c r="C904" s="23">
        <v>27</v>
      </c>
      <c r="D904" s="224"/>
      <c r="E904" s="224"/>
      <c r="F904" s="224"/>
      <c r="G904" s="224"/>
      <c r="H904" s="224">
        <v>1889</v>
      </c>
      <c r="I904" s="224"/>
      <c r="J904" s="224"/>
      <c r="K904" s="224"/>
    </row>
    <row r="905" spans="1:11">
      <c r="A905" s="23" t="s">
        <v>462</v>
      </c>
      <c r="B905" s="23">
        <v>23</v>
      </c>
      <c r="C905" s="23">
        <v>31</v>
      </c>
      <c r="D905" s="224"/>
      <c r="E905" s="224"/>
      <c r="F905" s="224"/>
      <c r="G905" s="224"/>
      <c r="H905" s="224">
        <v>22600</v>
      </c>
      <c r="I905" s="224"/>
      <c r="J905" s="224"/>
      <c r="K905" s="224"/>
    </row>
    <row r="906" spans="1:11">
      <c r="A906" s="23" t="s">
        <v>462</v>
      </c>
      <c r="B906" s="23">
        <v>23</v>
      </c>
      <c r="C906" s="23">
        <v>32</v>
      </c>
      <c r="D906" s="224"/>
      <c r="E906" s="224"/>
      <c r="F906" s="224"/>
      <c r="G906" s="224"/>
      <c r="H906" s="224">
        <v>12000</v>
      </c>
      <c r="I906" s="224"/>
      <c r="J906" s="224"/>
      <c r="K906" s="224"/>
    </row>
    <row r="907" spans="1:11">
      <c r="A907" s="23" t="s">
        <v>462</v>
      </c>
      <c r="B907" s="23">
        <v>23</v>
      </c>
      <c r="C907" s="23">
        <v>33</v>
      </c>
      <c r="D907" s="224"/>
      <c r="E907" s="224"/>
      <c r="F907" s="224"/>
      <c r="G907" s="224"/>
      <c r="H907" s="224">
        <v>1624</v>
      </c>
      <c r="I907" s="224"/>
      <c r="J907" s="224"/>
      <c r="K907" s="224"/>
    </row>
    <row r="908" spans="1:11">
      <c r="A908" s="23" t="s">
        <v>462</v>
      </c>
      <c r="B908" s="23">
        <v>24</v>
      </c>
      <c r="C908" s="23">
        <v>27</v>
      </c>
      <c r="D908" s="224"/>
      <c r="E908" s="224"/>
      <c r="F908" s="224">
        <v>89407</v>
      </c>
      <c r="G908" s="224">
        <v>63347</v>
      </c>
      <c r="H908" s="224"/>
      <c r="I908" s="224">
        <v>1457</v>
      </c>
      <c r="J908" s="224"/>
      <c r="K908" s="224"/>
    </row>
    <row r="909" spans="1:11">
      <c r="A909" s="23" t="s">
        <v>464</v>
      </c>
      <c r="B909" s="23">
        <v>21</v>
      </c>
      <c r="C909" s="23">
        <v>26</v>
      </c>
      <c r="D909" s="224"/>
      <c r="E909" s="224"/>
      <c r="F909" s="224"/>
      <c r="G909" s="224"/>
      <c r="H909" s="224"/>
      <c r="I909" s="224">
        <v>1500</v>
      </c>
      <c r="J909" s="224"/>
      <c r="K909" s="224"/>
    </row>
    <row r="910" spans="1:11">
      <c r="A910" s="23" t="s">
        <v>464</v>
      </c>
      <c r="B910" s="23">
        <v>21</v>
      </c>
      <c r="C910" s="23">
        <v>27</v>
      </c>
      <c r="D910" s="224"/>
      <c r="E910" s="224">
        <v>81148</v>
      </c>
      <c r="F910" s="224">
        <v>105086</v>
      </c>
      <c r="G910" s="224">
        <v>109404</v>
      </c>
      <c r="H910" s="224">
        <v>2850</v>
      </c>
      <c r="I910" s="224">
        <v>250</v>
      </c>
      <c r="J910" s="224">
        <v>250</v>
      </c>
      <c r="K910" s="224"/>
    </row>
    <row r="911" spans="1:11">
      <c r="A911" s="23" t="s">
        <v>464</v>
      </c>
      <c r="B911" s="23">
        <v>21</v>
      </c>
      <c r="C911" s="23">
        <v>32</v>
      </c>
      <c r="D911" s="224"/>
      <c r="E911" s="224"/>
      <c r="F911" s="224"/>
      <c r="G911" s="224"/>
      <c r="H911" s="224">
        <v>500</v>
      </c>
      <c r="I911" s="224"/>
      <c r="J911" s="224"/>
      <c r="K911" s="224"/>
    </row>
    <row r="912" spans="1:11">
      <c r="A912" s="23" t="s">
        <v>464</v>
      </c>
      <c r="B912" s="23">
        <v>24</v>
      </c>
      <c r="C912" s="23">
        <v>26</v>
      </c>
      <c r="D912" s="224"/>
      <c r="E912" s="224"/>
      <c r="F912" s="224"/>
      <c r="G912" s="224"/>
      <c r="H912" s="224"/>
      <c r="I912" s="224">
        <v>70000</v>
      </c>
      <c r="J912" s="224"/>
      <c r="K912" s="224"/>
    </row>
    <row r="913" spans="1:11">
      <c r="A913" s="23" t="s">
        <v>466</v>
      </c>
      <c r="B913" s="23">
        <v>21</v>
      </c>
      <c r="C913" s="23">
        <v>21</v>
      </c>
      <c r="D913" s="224">
        <v>1200</v>
      </c>
      <c r="E913" s="224">
        <v>440473</v>
      </c>
      <c r="F913" s="224">
        <v>185928</v>
      </c>
      <c r="G913" s="224">
        <v>211032</v>
      </c>
      <c r="H913" s="224"/>
      <c r="I913" s="224">
        <v>4250</v>
      </c>
      <c r="J913" s="224">
        <v>1200</v>
      </c>
      <c r="K913" s="224"/>
    </row>
    <row r="914" spans="1:11">
      <c r="A914" s="23" t="s">
        <v>466</v>
      </c>
      <c r="B914" s="23">
        <v>21</v>
      </c>
      <c r="C914" s="23">
        <v>23</v>
      </c>
      <c r="D914" s="224"/>
      <c r="E914" s="224"/>
      <c r="F914" s="224">
        <v>9996</v>
      </c>
      <c r="G914" s="224">
        <v>993</v>
      </c>
      <c r="H914" s="224"/>
      <c r="I914" s="224"/>
      <c r="J914" s="224"/>
      <c r="K914" s="224"/>
    </row>
    <row r="915" spans="1:11">
      <c r="A915" s="23" t="s">
        <v>466</v>
      </c>
      <c r="B915" s="23">
        <v>21</v>
      </c>
      <c r="C915" s="23">
        <v>26</v>
      </c>
      <c r="D915" s="224"/>
      <c r="E915" s="224">
        <v>1696154</v>
      </c>
      <c r="F915" s="224">
        <v>283665</v>
      </c>
      <c r="G915" s="224">
        <v>797627</v>
      </c>
      <c r="H915" s="224">
        <v>6200</v>
      </c>
      <c r="I915" s="224">
        <v>228206</v>
      </c>
      <c r="J915" s="224">
        <v>1800</v>
      </c>
      <c r="K915" s="224"/>
    </row>
    <row r="916" spans="1:11">
      <c r="A916" s="23" t="s">
        <v>466</v>
      </c>
      <c r="B916" s="23">
        <v>21</v>
      </c>
      <c r="C916" s="23">
        <v>27</v>
      </c>
      <c r="D916" s="224">
        <v>300</v>
      </c>
      <c r="E916" s="224">
        <v>3515248</v>
      </c>
      <c r="F916" s="224">
        <v>3195788</v>
      </c>
      <c r="G916" s="224">
        <v>3427953</v>
      </c>
      <c r="H916" s="224">
        <v>19707</v>
      </c>
      <c r="I916" s="224"/>
      <c r="J916" s="224">
        <v>1150</v>
      </c>
      <c r="K916" s="224"/>
    </row>
    <row r="917" spans="1:11">
      <c r="A917" s="23" t="s">
        <v>466</v>
      </c>
      <c r="B917" s="23">
        <v>21</v>
      </c>
      <c r="C917" s="23">
        <v>29</v>
      </c>
      <c r="D917" s="224"/>
      <c r="E917" s="224"/>
      <c r="F917" s="224"/>
      <c r="G917" s="224"/>
      <c r="H917" s="224"/>
      <c r="I917" s="224">
        <v>644507</v>
      </c>
      <c r="J917" s="224"/>
      <c r="K917" s="224"/>
    </row>
    <row r="918" spans="1:11">
      <c r="A918" s="23" t="s">
        <v>466</v>
      </c>
      <c r="B918" s="23">
        <v>21</v>
      </c>
      <c r="C918" s="23">
        <v>31</v>
      </c>
      <c r="D918" s="224"/>
      <c r="E918" s="224">
        <v>30694</v>
      </c>
      <c r="F918" s="224"/>
      <c r="G918" s="224">
        <v>6692</v>
      </c>
      <c r="H918" s="224">
        <v>5000</v>
      </c>
      <c r="I918" s="224">
        <v>3000</v>
      </c>
      <c r="J918" s="224">
        <v>1000</v>
      </c>
      <c r="K918" s="224"/>
    </row>
    <row r="919" spans="1:11">
      <c r="A919" s="23" t="s">
        <v>466</v>
      </c>
      <c r="B919" s="23">
        <v>21</v>
      </c>
      <c r="C919" s="23">
        <v>32</v>
      </c>
      <c r="D919" s="224"/>
      <c r="E919" s="224"/>
      <c r="F919" s="224"/>
      <c r="G919" s="224"/>
      <c r="H919" s="224">
        <v>7500</v>
      </c>
      <c r="I919" s="224"/>
      <c r="J919" s="224"/>
      <c r="K919" s="224"/>
    </row>
    <row r="920" spans="1:11">
      <c r="A920" s="23" t="s">
        <v>466</v>
      </c>
      <c r="B920" s="23">
        <v>21</v>
      </c>
      <c r="C920" s="23">
        <v>34</v>
      </c>
      <c r="D920" s="224"/>
      <c r="E920" s="224">
        <v>78495</v>
      </c>
      <c r="F920" s="224"/>
      <c r="G920" s="224">
        <v>18261</v>
      </c>
      <c r="H920" s="224"/>
      <c r="I920" s="224"/>
      <c r="J920" s="224"/>
      <c r="K920" s="224"/>
    </row>
    <row r="921" spans="1:11">
      <c r="A921" s="23" t="s">
        <v>466</v>
      </c>
      <c r="B921" s="23">
        <v>23</v>
      </c>
      <c r="C921" s="23">
        <v>26</v>
      </c>
      <c r="D921" s="224"/>
      <c r="E921" s="224"/>
      <c r="F921" s="224"/>
      <c r="G921" s="224"/>
      <c r="H921" s="224">
        <v>69526</v>
      </c>
      <c r="I921" s="224"/>
      <c r="J921" s="224"/>
      <c r="K921" s="224"/>
    </row>
    <row r="922" spans="1:11">
      <c r="A922" s="23" t="s">
        <v>466</v>
      </c>
      <c r="B922" s="23">
        <v>23</v>
      </c>
      <c r="C922" s="23">
        <v>27</v>
      </c>
      <c r="D922" s="224"/>
      <c r="E922" s="224">
        <v>147710</v>
      </c>
      <c r="F922" s="224"/>
      <c r="G922" s="224">
        <v>59050</v>
      </c>
      <c r="H922" s="224"/>
      <c r="I922" s="224"/>
      <c r="J922" s="224"/>
      <c r="K922" s="224"/>
    </row>
    <row r="923" spans="1:11">
      <c r="A923" s="23" t="s">
        <v>466</v>
      </c>
      <c r="B923" s="23">
        <v>23</v>
      </c>
      <c r="C923" s="23">
        <v>31</v>
      </c>
      <c r="D923" s="224"/>
      <c r="E923" s="224">
        <v>2336</v>
      </c>
      <c r="F923" s="224"/>
      <c r="G923" s="224">
        <v>544</v>
      </c>
      <c r="H923" s="224"/>
      <c r="I923" s="224"/>
      <c r="J923" s="224"/>
      <c r="K923" s="224"/>
    </row>
    <row r="924" spans="1:11">
      <c r="A924" s="23" t="s">
        <v>466</v>
      </c>
      <c r="B924" s="23">
        <v>24</v>
      </c>
      <c r="C924" s="23">
        <v>27</v>
      </c>
      <c r="D924" s="224"/>
      <c r="E924" s="224">
        <v>1062313</v>
      </c>
      <c r="F924" s="224">
        <v>45135</v>
      </c>
      <c r="G924" s="224">
        <v>421172</v>
      </c>
      <c r="H924" s="224"/>
      <c r="I924" s="224"/>
      <c r="J924" s="224"/>
      <c r="K924" s="224"/>
    </row>
    <row r="925" spans="1:11">
      <c r="A925" s="23" t="s">
        <v>466</v>
      </c>
      <c r="B925" s="23">
        <v>24</v>
      </c>
      <c r="C925" s="23">
        <v>31</v>
      </c>
      <c r="D925" s="224"/>
      <c r="E925" s="224">
        <v>17021</v>
      </c>
      <c r="F925" s="224"/>
      <c r="G925" s="224">
        <v>3943</v>
      </c>
      <c r="H925" s="224"/>
      <c r="I925" s="224"/>
      <c r="J925" s="224"/>
      <c r="K925" s="224"/>
    </row>
    <row r="926" spans="1:11">
      <c r="A926" s="23" t="s">
        <v>468</v>
      </c>
      <c r="B926" s="23">
        <v>21</v>
      </c>
      <c r="C926" s="23">
        <v>26</v>
      </c>
      <c r="D926" s="224"/>
      <c r="E926" s="224"/>
      <c r="F926" s="224"/>
      <c r="G926" s="224"/>
      <c r="H926" s="224"/>
      <c r="I926" s="224">
        <v>48089</v>
      </c>
      <c r="J926" s="224"/>
      <c r="K926" s="224"/>
    </row>
    <row r="927" spans="1:11">
      <c r="A927" s="23" t="s">
        <v>468</v>
      </c>
      <c r="B927" s="23">
        <v>21</v>
      </c>
      <c r="C927" s="23">
        <v>27</v>
      </c>
      <c r="D927" s="224"/>
      <c r="E927" s="224">
        <v>33821</v>
      </c>
      <c r="F927" s="224">
        <v>103401</v>
      </c>
      <c r="G927" s="224">
        <v>84155</v>
      </c>
      <c r="H927" s="224">
        <v>2300</v>
      </c>
      <c r="I927" s="224"/>
      <c r="J927" s="224"/>
      <c r="K927" s="224"/>
    </row>
    <row r="928" spans="1:11">
      <c r="A928" s="23" t="s">
        <v>468</v>
      </c>
      <c r="B928" s="23">
        <v>21</v>
      </c>
      <c r="C928" s="23">
        <v>33</v>
      </c>
      <c r="D928" s="224"/>
      <c r="E928" s="224"/>
      <c r="F928" s="224"/>
      <c r="G928" s="224"/>
      <c r="H928" s="224">
        <v>1000</v>
      </c>
      <c r="I928" s="224"/>
      <c r="J928" s="224"/>
      <c r="K928" s="224"/>
    </row>
    <row r="929" spans="1:11">
      <c r="A929" s="23" t="s">
        <v>468</v>
      </c>
      <c r="B929" s="23">
        <v>24</v>
      </c>
      <c r="C929" s="23">
        <v>26</v>
      </c>
      <c r="D929" s="224"/>
      <c r="E929" s="224"/>
      <c r="F929" s="224"/>
      <c r="G929" s="224"/>
      <c r="H929" s="224"/>
      <c r="I929" s="224">
        <v>12887</v>
      </c>
      <c r="J929" s="224"/>
      <c r="K929" s="224"/>
    </row>
    <row r="930" spans="1:11">
      <c r="A930" s="23" t="s">
        <v>468</v>
      </c>
      <c r="B930" s="23">
        <v>24</v>
      </c>
      <c r="C930" s="23">
        <v>27</v>
      </c>
      <c r="D930" s="224"/>
      <c r="E930" s="224">
        <v>27876</v>
      </c>
      <c r="F930" s="224"/>
      <c r="G930" s="224">
        <v>12122</v>
      </c>
      <c r="H930" s="224"/>
      <c r="I930" s="224"/>
      <c r="J930" s="224"/>
      <c r="K930" s="224"/>
    </row>
    <row r="931" spans="1:11">
      <c r="A931" s="23" t="s">
        <v>470</v>
      </c>
      <c r="B931" s="23">
        <v>21</v>
      </c>
      <c r="C931" s="23">
        <v>21</v>
      </c>
      <c r="D931" s="224"/>
      <c r="E931" s="224"/>
      <c r="F931" s="224">
        <v>21091</v>
      </c>
      <c r="G931" s="224">
        <v>10368</v>
      </c>
      <c r="H931" s="224">
        <v>300</v>
      </c>
      <c r="I931" s="224"/>
      <c r="J931" s="224"/>
      <c r="K931" s="224"/>
    </row>
    <row r="932" spans="1:11">
      <c r="A932" s="23" t="s">
        <v>470</v>
      </c>
      <c r="B932" s="23">
        <v>21</v>
      </c>
      <c r="C932" s="23">
        <v>26</v>
      </c>
      <c r="D932" s="224"/>
      <c r="E932" s="224">
        <v>58120</v>
      </c>
      <c r="F932" s="224"/>
      <c r="G932" s="224">
        <v>21205</v>
      </c>
      <c r="H932" s="224"/>
      <c r="I932" s="224">
        <v>78000</v>
      </c>
      <c r="J932" s="224"/>
      <c r="K932" s="224"/>
    </row>
    <row r="933" spans="1:11">
      <c r="A933" s="23" t="s">
        <v>470</v>
      </c>
      <c r="B933" s="23">
        <v>21</v>
      </c>
      <c r="C933" s="23">
        <v>27</v>
      </c>
      <c r="D933" s="224"/>
      <c r="E933" s="224">
        <v>148877</v>
      </c>
      <c r="F933" s="224">
        <v>184018</v>
      </c>
      <c r="G933" s="224">
        <v>161057</v>
      </c>
      <c r="H933" s="224">
        <v>7000</v>
      </c>
      <c r="I933" s="224">
        <v>6850</v>
      </c>
      <c r="J933" s="224">
        <v>500</v>
      </c>
      <c r="K933" s="224"/>
    </row>
    <row r="934" spans="1:11">
      <c r="A934" s="23" t="s">
        <v>470</v>
      </c>
      <c r="B934" s="23">
        <v>21</v>
      </c>
      <c r="C934" s="23">
        <v>31</v>
      </c>
      <c r="D934" s="224"/>
      <c r="E934" s="224">
        <v>1534</v>
      </c>
      <c r="F934" s="224"/>
      <c r="G934" s="224"/>
      <c r="H934" s="224"/>
      <c r="I934" s="224"/>
      <c r="J934" s="224"/>
      <c r="K934" s="224"/>
    </row>
    <row r="935" spans="1:11">
      <c r="A935" s="23" t="s">
        <v>470</v>
      </c>
      <c r="B935" s="23">
        <v>24</v>
      </c>
      <c r="C935" s="23">
        <v>26</v>
      </c>
      <c r="D935" s="224"/>
      <c r="E935" s="224">
        <v>24908</v>
      </c>
      <c r="F935" s="224"/>
      <c r="G935" s="224">
        <v>9088</v>
      </c>
      <c r="H935" s="224"/>
      <c r="I935" s="224"/>
      <c r="J935" s="224"/>
      <c r="K935" s="224"/>
    </row>
    <row r="936" spans="1:11">
      <c r="A936" s="23" t="s">
        <v>1052</v>
      </c>
      <c r="B936" s="23">
        <v>21</v>
      </c>
      <c r="C936" s="23">
        <v>27</v>
      </c>
      <c r="D936" s="224"/>
      <c r="E936" s="224">
        <v>40512</v>
      </c>
      <c r="F936" s="224">
        <v>17174</v>
      </c>
      <c r="G936" s="224">
        <v>18681</v>
      </c>
      <c r="H936" s="224">
        <v>500</v>
      </c>
      <c r="I936" s="224">
        <v>1550</v>
      </c>
      <c r="J936" s="224"/>
      <c r="K936" s="224"/>
    </row>
    <row r="937" spans="1:11">
      <c r="A937" s="23" t="s">
        <v>1052</v>
      </c>
      <c r="B937" s="23">
        <v>21</v>
      </c>
      <c r="C937" s="23">
        <v>31</v>
      </c>
      <c r="D937" s="224"/>
      <c r="E937" s="224"/>
      <c r="F937" s="224"/>
      <c r="G937" s="224"/>
      <c r="H937" s="224"/>
      <c r="I937" s="224">
        <v>15300</v>
      </c>
      <c r="J937" s="224"/>
      <c r="K937" s="224"/>
    </row>
    <row r="938" spans="1:11">
      <c r="A938" s="23" t="s">
        <v>1052</v>
      </c>
      <c r="B938" s="23">
        <v>21</v>
      </c>
      <c r="C938" s="23">
        <v>32</v>
      </c>
      <c r="D938" s="224"/>
      <c r="E938" s="224"/>
      <c r="F938" s="224"/>
      <c r="G938" s="224"/>
      <c r="H938" s="224"/>
      <c r="I938" s="224">
        <v>1200</v>
      </c>
      <c r="J938" s="224"/>
      <c r="K938" s="224"/>
    </row>
    <row r="939" spans="1:11">
      <c r="A939" s="23" t="s">
        <v>1052</v>
      </c>
      <c r="B939" s="23">
        <v>24</v>
      </c>
      <c r="C939" s="23">
        <v>27</v>
      </c>
      <c r="D939" s="224"/>
      <c r="E939" s="224">
        <v>2894</v>
      </c>
      <c r="F939" s="224"/>
      <c r="G939" s="224">
        <v>679</v>
      </c>
      <c r="H939" s="224"/>
      <c r="I939" s="224">
        <v>3450</v>
      </c>
      <c r="J939" s="224"/>
      <c r="K939" s="224"/>
    </row>
    <row r="940" spans="1:11">
      <c r="A940" s="23" t="s">
        <v>486</v>
      </c>
      <c r="B940" s="23">
        <v>21</v>
      </c>
      <c r="C940" s="23">
        <v>29</v>
      </c>
      <c r="D940" s="224"/>
      <c r="E940" s="224"/>
      <c r="F940" s="224"/>
      <c r="G940" s="224"/>
      <c r="H940" s="224"/>
      <c r="I940" s="224">
        <v>353455</v>
      </c>
      <c r="J940" s="224"/>
      <c r="K940" s="224"/>
    </row>
    <row r="941" spans="1:11">
      <c r="A941" s="23" t="s">
        <v>488</v>
      </c>
      <c r="B941" s="23">
        <v>21</v>
      </c>
      <c r="C941" s="23">
        <v>21</v>
      </c>
      <c r="D941" s="224"/>
      <c r="E941" s="224">
        <v>163083</v>
      </c>
      <c r="F941" s="224">
        <v>99602</v>
      </c>
      <c r="G941" s="224">
        <v>97422</v>
      </c>
      <c r="H941" s="224">
        <v>10000</v>
      </c>
      <c r="I941" s="224"/>
      <c r="J941" s="224"/>
      <c r="K941" s="224"/>
    </row>
    <row r="942" spans="1:11">
      <c r="A942" s="23" t="s">
        <v>488</v>
      </c>
      <c r="B942" s="23">
        <v>21</v>
      </c>
      <c r="C942" s="23">
        <v>25</v>
      </c>
      <c r="D942" s="224"/>
      <c r="E942" s="224"/>
      <c r="F942" s="224"/>
      <c r="G942" s="224"/>
      <c r="H942" s="224">
        <v>1000</v>
      </c>
      <c r="I942" s="224"/>
      <c r="J942" s="224"/>
      <c r="K942" s="224"/>
    </row>
    <row r="943" spans="1:11">
      <c r="A943" s="23" t="s">
        <v>488</v>
      </c>
      <c r="B943" s="23">
        <v>21</v>
      </c>
      <c r="C943" s="23">
        <v>26</v>
      </c>
      <c r="D943" s="224"/>
      <c r="E943" s="224">
        <v>1232432</v>
      </c>
      <c r="F943" s="224">
        <v>142847</v>
      </c>
      <c r="G943" s="224">
        <v>532596</v>
      </c>
      <c r="H943" s="224">
        <v>300000</v>
      </c>
      <c r="I943" s="224"/>
      <c r="J943" s="224"/>
      <c r="K943" s="224"/>
    </row>
    <row r="944" spans="1:11">
      <c r="A944" s="23" t="s">
        <v>488</v>
      </c>
      <c r="B944" s="23">
        <v>21</v>
      </c>
      <c r="C944" s="23">
        <v>27</v>
      </c>
      <c r="D944" s="224">
        <v>1000</v>
      </c>
      <c r="E944" s="224">
        <v>1769529</v>
      </c>
      <c r="F944" s="224">
        <v>1308748</v>
      </c>
      <c r="G944" s="224">
        <v>1515715</v>
      </c>
      <c r="H944" s="224">
        <v>250000</v>
      </c>
      <c r="I944" s="224"/>
      <c r="J944" s="224"/>
      <c r="K944" s="224"/>
    </row>
    <row r="945" spans="1:11">
      <c r="A945" s="23" t="s">
        <v>488</v>
      </c>
      <c r="B945" s="23">
        <v>21</v>
      </c>
      <c r="C945" s="23">
        <v>31</v>
      </c>
      <c r="D945" s="224"/>
      <c r="E945" s="224">
        <v>178525</v>
      </c>
      <c r="F945" s="224"/>
      <c r="G945" s="224">
        <v>39445</v>
      </c>
      <c r="H945" s="224">
        <v>15000</v>
      </c>
      <c r="I945" s="224"/>
      <c r="J945" s="224"/>
      <c r="K945" s="224"/>
    </row>
    <row r="946" spans="1:11">
      <c r="A946" s="23" t="s">
        <v>488</v>
      </c>
      <c r="B946" s="23">
        <v>21</v>
      </c>
      <c r="C946" s="23">
        <v>32</v>
      </c>
      <c r="D946" s="224"/>
      <c r="E946" s="224"/>
      <c r="F946" s="224"/>
      <c r="G946" s="224"/>
      <c r="H946" s="224">
        <v>45000</v>
      </c>
      <c r="I946" s="224"/>
      <c r="J946" s="224"/>
      <c r="K946" s="224"/>
    </row>
    <row r="947" spans="1:11">
      <c r="A947" s="23" t="s">
        <v>488</v>
      </c>
      <c r="B947" s="23">
        <v>21</v>
      </c>
      <c r="C947" s="23">
        <v>33</v>
      </c>
      <c r="D947" s="224"/>
      <c r="E947" s="224"/>
      <c r="F947" s="224"/>
      <c r="G947" s="224"/>
      <c r="H947" s="224">
        <v>2500</v>
      </c>
      <c r="I947" s="224"/>
      <c r="J947" s="224"/>
      <c r="K947" s="224"/>
    </row>
    <row r="948" spans="1:11">
      <c r="A948" s="23" t="s">
        <v>488</v>
      </c>
      <c r="B948" s="23">
        <v>24</v>
      </c>
      <c r="C948" s="23">
        <v>26</v>
      </c>
      <c r="D948" s="224"/>
      <c r="E948" s="224">
        <v>144903</v>
      </c>
      <c r="F948" s="224"/>
      <c r="G948" s="224">
        <v>58028</v>
      </c>
      <c r="H948" s="224"/>
      <c r="I948" s="224"/>
      <c r="J948" s="224"/>
      <c r="K948" s="224"/>
    </row>
    <row r="949" spans="1:11">
      <c r="A949" s="23" t="s">
        <v>488</v>
      </c>
      <c r="B949" s="23">
        <v>24</v>
      </c>
      <c r="C949" s="23">
        <v>27</v>
      </c>
      <c r="D949" s="224"/>
      <c r="E949" s="224">
        <v>131632</v>
      </c>
      <c r="F949" s="224">
        <v>278922</v>
      </c>
      <c r="G949" s="224">
        <v>238912</v>
      </c>
      <c r="H949" s="224"/>
      <c r="I949" s="224">
        <v>150000</v>
      </c>
      <c r="J949" s="224"/>
      <c r="K949" s="224"/>
    </row>
    <row r="950" spans="1:11">
      <c r="A950" s="23" t="s">
        <v>488</v>
      </c>
      <c r="B950" s="23">
        <v>24</v>
      </c>
      <c r="C950" s="23">
        <v>31</v>
      </c>
      <c r="D950" s="224"/>
      <c r="E950" s="224">
        <v>11163</v>
      </c>
      <c r="F950" s="224"/>
      <c r="G950" s="224">
        <v>2539</v>
      </c>
      <c r="H950" s="224"/>
      <c r="I950" s="224"/>
      <c r="J950" s="224"/>
      <c r="K950" s="224"/>
    </row>
    <row r="951" spans="1:11">
      <c r="A951" s="23" t="s">
        <v>490</v>
      </c>
      <c r="B951" s="23">
        <v>21</v>
      </c>
      <c r="C951" s="23">
        <v>21</v>
      </c>
      <c r="D951" s="224"/>
      <c r="E951" s="224">
        <v>54004</v>
      </c>
      <c r="F951" s="224">
        <v>31051</v>
      </c>
      <c r="G951" s="224">
        <v>33475</v>
      </c>
      <c r="H951" s="224">
        <v>500</v>
      </c>
      <c r="I951" s="224">
        <v>7500</v>
      </c>
      <c r="J951" s="224">
        <v>500</v>
      </c>
      <c r="K951" s="224"/>
    </row>
    <row r="952" spans="1:11">
      <c r="A952" s="23" t="s">
        <v>490</v>
      </c>
      <c r="B952" s="23">
        <v>21</v>
      </c>
      <c r="C952" s="23">
        <v>24</v>
      </c>
      <c r="D952" s="224"/>
      <c r="E952" s="224"/>
      <c r="F952" s="224"/>
      <c r="G952" s="224"/>
      <c r="H952" s="224">
        <v>500</v>
      </c>
      <c r="I952" s="224">
        <v>2500</v>
      </c>
      <c r="J952" s="224"/>
      <c r="K952" s="224"/>
    </row>
    <row r="953" spans="1:11">
      <c r="A953" s="23" t="s">
        <v>490</v>
      </c>
      <c r="B953" s="23">
        <v>21</v>
      </c>
      <c r="C953" s="23">
        <v>26</v>
      </c>
      <c r="D953" s="224"/>
      <c r="E953" s="224"/>
      <c r="F953" s="224"/>
      <c r="G953" s="224"/>
      <c r="H953" s="224">
        <v>500</v>
      </c>
      <c r="I953" s="224">
        <v>309730</v>
      </c>
      <c r="J953" s="224"/>
      <c r="K953" s="224"/>
    </row>
    <row r="954" spans="1:11">
      <c r="A954" s="23" t="s">
        <v>490</v>
      </c>
      <c r="B954" s="23">
        <v>21</v>
      </c>
      <c r="C954" s="23">
        <v>27</v>
      </c>
      <c r="D954" s="224"/>
      <c r="E954" s="224">
        <v>246270</v>
      </c>
      <c r="F954" s="224">
        <v>108546</v>
      </c>
      <c r="G954" s="224">
        <v>107500</v>
      </c>
      <c r="H954" s="224">
        <v>2500</v>
      </c>
      <c r="I954" s="224">
        <v>72760</v>
      </c>
      <c r="J954" s="224"/>
      <c r="K954" s="224"/>
    </row>
    <row r="955" spans="1:11">
      <c r="A955" s="23" t="s">
        <v>490</v>
      </c>
      <c r="B955" s="23">
        <v>21</v>
      </c>
      <c r="C955" s="23">
        <v>31</v>
      </c>
      <c r="D955" s="224"/>
      <c r="E955" s="224"/>
      <c r="F955" s="224"/>
      <c r="G955" s="224"/>
      <c r="H955" s="224"/>
      <c r="I955" s="224">
        <v>6600</v>
      </c>
      <c r="J955" s="224">
        <v>200</v>
      </c>
      <c r="K955" s="224"/>
    </row>
    <row r="956" spans="1:11">
      <c r="A956" s="23" t="s">
        <v>490</v>
      </c>
      <c r="B956" s="23">
        <v>21</v>
      </c>
      <c r="C956" s="23">
        <v>32</v>
      </c>
      <c r="D956" s="224"/>
      <c r="E956" s="224"/>
      <c r="F956" s="224"/>
      <c r="G956" s="224"/>
      <c r="H956" s="224">
        <v>35000</v>
      </c>
      <c r="I956" s="224"/>
      <c r="J956" s="224"/>
      <c r="K956" s="224"/>
    </row>
    <row r="957" spans="1:11">
      <c r="A957" s="23" t="s">
        <v>490</v>
      </c>
      <c r="B957" s="23">
        <v>21</v>
      </c>
      <c r="C957" s="23">
        <v>33</v>
      </c>
      <c r="D957" s="224"/>
      <c r="E957" s="224"/>
      <c r="F957" s="224"/>
      <c r="G957" s="224">
        <v>2000</v>
      </c>
      <c r="H957" s="224"/>
      <c r="I957" s="224"/>
      <c r="J957" s="224"/>
      <c r="K957" s="224"/>
    </row>
    <row r="958" spans="1:11">
      <c r="A958" s="23" t="s">
        <v>490</v>
      </c>
      <c r="B958" s="23">
        <v>24</v>
      </c>
      <c r="C958" s="23">
        <v>27</v>
      </c>
      <c r="D958" s="224"/>
      <c r="E958" s="224"/>
      <c r="F958" s="224">
        <v>132136</v>
      </c>
      <c r="G958" s="224">
        <v>88162</v>
      </c>
      <c r="H958" s="224"/>
      <c r="I958" s="224"/>
      <c r="J958" s="224"/>
      <c r="K958" s="224"/>
    </row>
    <row r="959" spans="1:11">
      <c r="A959" s="23" t="s">
        <v>492</v>
      </c>
      <c r="B959" s="23">
        <v>21</v>
      </c>
      <c r="C959" s="23">
        <v>21</v>
      </c>
      <c r="D959" s="224"/>
      <c r="E959" s="224">
        <v>1000</v>
      </c>
      <c r="F959" s="224"/>
      <c r="G959" s="224">
        <v>225</v>
      </c>
      <c r="H959" s="224"/>
      <c r="I959" s="224"/>
      <c r="J959" s="224"/>
      <c r="K959" s="224"/>
    </row>
    <row r="960" spans="1:11">
      <c r="A960" s="23" t="s">
        <v>492</v>
      </c>
      <c r="B960" s="23">
        <v>21</v>
      </c>
      <c r="C960" s="23">
        <v>27</v>
      </c>
      <c r="D960" s="224"/>
      <c r="E960" s="224">
        <v>68541</v>
      </c>
      <c r="F960" s="224">
        <v>10017</v>
      </c>
      <c r="G960" s="224">
        <v>33681</v>
      </c>
      <c r="H960" s="224">
        <v>1500</v>
      </c>
      <c r="I960" s="224">
        <v>1100</v>
      </c>
      <c r="J960" s="224">
        <v>500</v>
      </c>
      <c r="K960" s="224"/>
    </row>
    <row r="961" spans="1:11">
      <c r="A961" s="23" t="s">
        <v>492</v>
      </c>
      <c r="B961" s="23">
        <v>21</v>
      </c>
      <c r="C961" s="23">
        <v>33</v>
      </c>
      <c r="D961" s="224"/>
      <c r="E961" s="224"/>
      <c r="F961" s="224"/>
      <c r="G961" s="224"/>
      <c r="H961" s="224">
        <v>500</v>
      </c>
      <c r="I961" s="224"/>
      <c r="J961" s="224"/>
      <c r="K961" s="224"/>
    </row>
    <row r="962" spans="1:11">
      <c r="A962" s="23" t="s">
        <v>494</v>
      </c>
      <c r="B962" s="23">
        <v>21</v>
      </c>
      <c r="C962" s="23">
        <v>21</v>
      </c>
      <c r="D962" s="224"/>
      <c r="E962" s="224">
        <v>49625</v>
      </c>
      <c r="F962" s="224">
        <v>10673</v>
      </c>
      <c r="G962" s="224">
        <v>20798</v>
      </c>
      <c r="H962" s="224"/>
      <c r="I962" s="224"/>
      <c r="J962" s="224"/>
      <c r="K962" s="224"/>
    </row>
    <row r="963" spans="1:11">
      <c r="A963" s="23" t="s">
        <v>494</v>
      </c>
      <c r="B963" s="23">
        <v>21</v>
      </c>
      <c r="C963" s="23">
        <v>26</v>
      </c>
      <c r="D963" s="224"/>
      <c r="E963" s="224">
        <v>89776</v>
      </c>
      <c r="F963" s="224"/>
      <c r="G963" s="224">
        <v>32912</v>
      </c>
      <c r="H963" s="224"/>
      <c r="I963" s="224">
        <v>116200</v>
      </c>
      <c r="J963" s="224"/>
      <c r="K963" s="224"/>
    </row>
    <row r="964" spans="1:11">
      <c r="A964" s="23" t="s">
        <v>494</v>
      </c>
      <c r="B964" s="23">
        <v>21</v>
      </c>
      <c r="C964" s="23">
        <v>27</v>
      </c>
      <c r="D964" s="224"/>
      <c r="E964" s="224">
        <v>253072</v>
      </c>
      <c r="F964" s="224">
        <v>113092</v>
      </c>
      <c r="G964" s="224">
        <v>172099</v>
      </c>
      <c r="H964" s="224">
        <v>2000</v>
      </c>
      <c r="I964" s="224"/>
      <c r="J964" s="224"/>
      <c r="K964" s="224"/>
    </row>
    <row r="965" spans="1:11">
      <c r="A965" s="23" t="s">
        <v>494</v>
      </c>
      <c r="B965" s="23">
        <v>21</v>
      </c>
      <c r="C965" s="23">
        <v>31</v>
      </c>
      <c r="D965" s="224"/>
      <c r="E965" s="224">
        <v>5784</v>
      </c>
      <c r="F965" s="224"/>
      <c r="G965" s="224">
        <v>1332</v>
      </c>
      <c r="H965" s="224"/>
      <c r="I965" s="224"/>
      <c r="J965" s="224"/>
      <c r="K965" s="224"/>
    </row>
    <row r="966" spans="1:11">
      <c r="A966" s="23" t="s">
        <v>494</v>
      </c>
      <c r="B966" s="23">
        <v>21</v>
      </c>
      <c r="C966" s="23">
        <v>34</v>
      </c>
      <c r="D966" s="224"/>
      <c r="E966" s="224">
        <v>6802</v>
      </c>
      <c r="F966" s="224"/>
      <c r="G966" s="224">
        <v>1682</v>
      </c>
      <c r="H966" s="224"/>
      <c r="I966" s="224"/>
      <c r="J966" s="224"/>
      <c r="K966" s="224"/>
    </row>
    <row r="967" spans="1:11">
      <c r="A967" s="23" t="s">
        <v>494</v>
      </c>
      <c r="B967" s="23">
        <v>24</v>
      </c>
      <c r="C967" s="23">
        <v>21</v>
      </c>
      <c r="D967" s="224"/>
      <c r="E967" s="224"/>
      <c r="F967" s="224"/>
      <c r="G967" s="224"/>
      <c r="H967" s="224">
        <v>2000</v>
      </c>
      <c r="I967" s="224"/>
      <c r="J967" s="224"/>
      <c r="K967" s="224"/>
    </row>
    <row r="968" spans="1:11">
      <c r="A968" s="23" t="s">
        <v>494</v>
      </c>
      <c r="B968" s="23">
        <v>24</v>
      </c>
      <c r="C968" s="23">
        <v>27</v>
      </c>
      <c r="D968" s="224"/>
      <c r="E968" s="224"/>
      <c r="F968" s="224">
        <v>90685</v>
      </c>
      <c r="G968" s="224">
        <v>57333</v>
      </c>
      <c r="H968" s="224">
        <v>14297</v>
      </c>
      <c r="I968" s="224"/>
      <c r="J968" s="224"/>
      <c r="K968" s="224"/>
    </row>
    <row r="969" spans="1:11">
      <c r="A969" s="23" t="s">
        <v>494</v>
      </c>
      <c r="B969" s="23">
        <v>24</v>
      </c>
      <c r="C969" s="23">
        <v>31</v>
      </c>
      <c r="D969" s="224"/>
      <c r="E969" s="224"/>
      <c r="F969" s="224"/>
      <c r="G969" s="224"/>
      <c r="H969" s="224"/>
      <c r="I969" s="224">
        <v>500</v>
      </c>
      <c r="J969" s="224">
        <v>540</v>
      </c>
      <c r="K969" s="224"/>
    </row>
    <row r="970" spans="1:11">
      <c r="A970" s="23" t="s">
        <v>494</v>
      </c>
      <c r="B970" s="23">
        <v>24</v>
      </c>
      <c r="C970" s="23">
        <v>32</v>
      </c>
      <c r="D970" s="224"/>
      <c r="E970" s="224"/>
      <c r="F970" s="224"/>
      <c r="G970" s="224"/>
      <c r="H970" s="224"/>
      <c r="I970" s="224"/>
      <c r="J970" s="224"/>
      <c r="K970" s="224">
        <v>2000</v>
      </c>
    </row>
    <row r="971" spans="1:11">
      <c r="A971" s="23" t="s">
        <v>496</v>
      </c>
      <c r="B971" s="23">
        <v>21</v>
      </c>
      <c r="C971" s="23">
        <v>27</v>
      </c>
      <c r="D971" s="224"/>
      <c r="E971" s="224">
        <v>70026</v>
      </c>
      <c r="F971" s="224">
        <v>51559</v>
      </c>
      <c r="G971" s="224">
        <v>62649</v>
      </c>
      <c r="H971" s="224">
        <v>1000</v>
      </c>
      <c r="I971" s="224">
        <v>2200000</v>
      </c>
      <c r="J971" s="224"/>
      <c r="K971" s="224"/>
    </row>
    <row r="972" spans="1:11">
      <c r="A972" s="23" t="s">
        <v>496</v>
      </c>
      <c r="B972" s="23">
        <v>21</v>
      </c>
      <c r="C972" s="23">
        <v>29</v>
      </c>
      <c r="D972" s="224"/>
      <c r="E972" s="224"/>
      <c r="F972" s="224"/>
      <c r="G972" s="224"/>
      <c r="H972" s="224"/>
      <c r="I972" s="224">
        <v>85000</v>
      </c>
      <c r="J972" s="224"/>
      <c r="K972" s="224"/>
    </row>
    <row r="973" spans="1:11">
      <c r="A973" s="23" t="s">
        <v>496</v>
      </c>
      <c r="B973" s="23">
        <v>21</v>
      </c>
      <c r="C973" s="23">
        <v>31</v>
      </c>
      <c r="D973" s="224"/>
      <c r="E973" s="224">
        <v>1470</v>
      </c>
      <c r="F973" s="224"/>
      <c r="G973" s="224">
        <v>348</v>
      </c>
      <c r="H973" s="224"/>
      <c r="I973" s="224"/>
      <c r="J973" s="224"/>
      <c r="K973" s="224"/>
    </row>
    <row r="974" spans="1:11">
      <c r="A974" s="23" t="s">
        <v>496</v>
      </c>
      <c r="B974" s="23">
        <v>21</v>
      </c>
      <c r="C974" s="23">
        <v>33</v>
      </c>
      <c r="D974" s="224"/>
      <c r="E974" s="224"/>
      <c r="F974" s="224"/>
      <c r="G974" s="224"/>
      <c r="H974" s="224">
        <v>1500</v>
      </c>
      <c r="I974" s="224"/>
      <c r="J974" s="224"/>
      <c r="K974" s="224"/>
    </row>
    <row r="975" spans="1:11">
      <c r="A975" s="23" t="s">
        <v>496</v>
      </c>
      <c r="B975" s="23">
        <v>21</v>
      </c>
      <c r="C975" s="23">
        <v>34</v>
      </c>
      <c r="D975" s="224"/>
      <c r="E975" s="224">
        <v>1102</v>
      </c>
      <c r="F975" s="224"/>
      <c r="G975" s="224">
        <v>261</v>
      </c>
      <c r="H975" s="224"/>
      <c r="I975" s="224"/>
      <c r="J975" s="224"/>
      <c r="K975" s="224"/>
    </row>
    <row r="976" spans="1:11">
      <c r="A976" s="23" t="s">
        <v>496</v>
      </c>
      <c r="B976" s="23">
        <v>24</v>
      </c>
      <c r="C976" s="23">
        <v>26</v>
      </c>
      <c r="D976" s="224"/>
      <c r="E976" s="224"/>
      <c r="F976" s="224"/>
      <c r="G976" s="224"/>
      <c r="H976" s="224"/>
      <c r="I976" s="224">
        <v>195581</v>
      </c>
      <c r="J976" s="224"/>
      <c r="K976" s="224"/>
    </row>
    <row r="977" spans="1:11">
      <c r="A977" s="23" t="s">
        <v>496</v>
      </c>
      <c r="B977" s="23">
        <v>24</v>
      </c>
      <c r="C977" s="23">
        <v>27</v>
      </c>
      <c r="D977" s="224"/>
      <c r="E977" s="224"/>
      <c r="F977" s="224"/>
      <c r="G977" s="224"/>
      <c r="H977" s="224">
        <v>10571</v>
      </c>
      <c r="I977" s="224">
        <v>10571</v>
      </c>
      <c r="J977" s="224"/>
      <c r="K977" s="224"/>
    </row>
    <row r="978" spans="1:11">
      <c r="A978" s="23" t="s">
        <v>497</v>
      </c>
      <c r="B978" s="23">
        <v>21</v>
      </c>
      <c r="C978" s="23">
        <v>21</v>
      </c>
      <c r="D978" s="224"/>
      <c r="E978" s="224">
        <v>3165</v>
      </c>
      <c r="F978" s="224"/>
      <c r="G978" s="224">
        <v>13027</v>
      </c>
      <c r="H978" s="224">
        <v>100000</v>
      </c>
      <c r="I978" s="224">
        <v>37500</v>
      </c>
      <c r="J978" s="224"/>
      <c r="K978" s="224"/>
    </row>
    <row r="979" spans="1:11">
      <c r="A979" s="23" t="s">
        <v>497</v>
      </c>
      <c r="B979" s="23">
        <v>21</v>
      </c>
      <c r="C979" s="23">
        <v>23</v>
      </c>
      <c r="D979" s="224"/>
      <c r="E979" s="224"/>
      <c r="F979" s="224"/>
      <c r="G979" s="224"/>
      <c r="H979" s="224">
        <v>450</v>
      </c>
      <c r="I979" s="224"/>
      <c r="J979" s="224"/>
      <c r="K979" s="224"/>
    </row>
    <row r="980" spans="1:11">
      <c r="A980" s="23" t="s">
        <v>497</v>
      </c>
      <c r="B980" s="23">
        <v>21</v>
      </c>
      <c r="C980" s="23">
        <v>26</v>
      </c>
      <c r="D980" s="224"/>
      <c r="E980" s="224"/>
      <c r="F980" s="224"/>
      <c r="G980" s="224"/>
      <c r="H980" s="224">
        <v>7000</v>
      </c>
      <c r="I980" s="224">
        <v>166807</v>
      </c>
      <c r="J980" s="224"/>
      <c r="K980" s="224"/>
    </row>
    <row r="981" spans="1:11">
      <c r="A981" s="23" t="s">
        <v>497</v>
      </c>
      <c r="B981" s="23">
        <v>21</v>
      </c>
      <c r="C981" s="23">
        <v>27</v>
      </c>
      <c r="D981" s="224"/>
      <c r="E981" s="224">
        <v>166534</v>
      </c>
      <c r="F981" s="224">
        <v>80139</v>
      </c>
      <c r="G981" s="224">
        <v>128509</v>
      </c>
      <c r="H981" s="224">
        <v>11000</v>
      </c>
      <c r="I981" s="224">
        <v>2000</v>
      </c>
      <c r="J981" s="224"/>
      <c r="K981" s="224"/>
    </row>
    <row r="982" spans="1:11">
      <c r="A982" s="23" t="s">
        <v>497</v>
      </c>
      <c r="B982" s="23">
        <v>21</v>
      </c>
      <c r="C982" s="23">
        <v>31</v>
      </c>
      <c r="D982" s="224"/>
      <c r="E982" s="224"/>
      <c r="F982" s="224"/>
      <c r="G982" s="224"/>
      <c r="H982" s="224">
        <v>1327</v>
      </c>
      <c r="I982" s="224"/>
      <c r="J982" s="224">
        <v>5000</v>
      </c>
      <c r="K982" s="224"/>
    </row>
    <row r="983" spans="1:11">
      <c r="A983" s="23" t="s">
        <v>497</v>
      </c>
      <c r="B983" s="23">
        <v>24</v>
      </c>
      <c r="C983" s="23">
        <v>26</v>
      </c>
      <c r="D983" s="224"/>
      <c r="E983" s="224"/>
      <c r="F983" s="224"/>
      <c r="G983" s="224"/>
      <c r="H983" s="224"/>
      <c r="I983" s="224">
        <v>20000</v>
      </c>
      <c r="J983" s="224"/>
      <c r="K983" s="224"/>
    </row>
    <row r="984" spans="1:11">
      <c r="A984" s="23" t="s">
        <v>497</v>
      </c>
      <c r="B984" s="23">
        <v>24</v>
      </c>
      <c r="C984" s="23">
        <v>27</v>
      </c>
      <c r="D984" s="224"/>
      <c r="E984" s="224"/>
      <c r="F984" s="224">
        <v>23954</v>
      </c>
      <c r="G984" s="224">
        <v>18533</v>
      </c>
      <c r="H984" s="224">
        <v>30000</v>
      </c>
      <c r="I984" s="224">
        <v>36651</v>
      </c>
      <c r="J984" s="224"/>
      <c r="K984" s="224"/>
    </row>
    <row r="985" spans="1:11">
      <c r="A985" s="23" t="s">
        <v>497</v>
      </c>
      <c r="B985" s="23">
        <v>29</v>
      </c>
      <c r="C985" s="23">
        <v>27</v>
      </c>
      <c r="D985" s="224"/>
      <c r="E985" s="224"/>
      <c r="F985" s="224"/>
      <c r="G985" s="224"/>
      <c r="H985" s="224"/>
      <c r="I985" s="224">
        <v>1000</v>
      </c>
      <c r="J985" s="224"/>
      <c r="K985" s="224"/>
    </row>
    <row r="986" spans="1:11">
      <c r="A986" s="23" t="s">
        <v>499</v>
      </c>
      <c r="B986" s="23">
        <v>21</v>
      </c>
      <c r="C986" s="23">
        <v>21</v>
      </c>
      <c r="D986" s="224">
        <v>9521</v>
      </c>
      <c r="E986" s="224">
        <v>389365</v>
      </c>
      <c r="F986" s="224">
        <v>266400</v>
      </c>
      <c r="G986" s="224">
        <v>220267</v>
      </c>
      <c r="H986" s="224">
        <v>6000</v>
      </c>
      <c r="I986" s="224">
        <v>2300</v>
      </c>
      <c r="J986" s="224"/>
      <c r="K986" s="224"/>
    </row>
    <row r="987" spans="1:11">
      <c r="A987" s="23" t="s">
        <v>499</v>
      </c>
      <c r="B987" s="23">
        <v>21</v>
      </c>
      <c r="C987" s="23">
        <v>24</v>
      </c>
      <c r="D987" s="224">
        <v>10</v>
      </c>
      <c r="E987" s="224">
        <v>403056</v>
      </c>
      <c r="F987" s="224"/>
      <c r="G987" s="224">
        <v>125538</v>
      </c>
      <c r="H987" s="224">
        <v>210</v>
      </c>
      <c r="I987" s="224">
        <v>100</v>
      </c>
      <c r="J987" s="224">
        <v>150</v>
      </c>
      <c r="K987" s="224"/>
    </row>
    <row r="988" spans="1:11">
      <c r="A988" s="23" t="s">
        <v>499</v>
      </c>
      <c r="B988" s="23">
        <v>21</v>
      </c>
      <c r="C988" s="23">
        <v>25</v>
      </c>
      <c r="D988" s="224"/>
      <c r="E988" s="224"/>
      <c r="F988" s="224">
        <v>57635</v>
      </c>
      <c r="G988" s="224">
        <v>28351</v>
      </c>
      <c r="H988" s="224">
        <v>5500</v>
      </c>
      <c r="I988" s="224">
        <v>1500</v>
      </c>
      <c r="J988" s="224"/>
      <c r="K988" s="224"/>
    </row>
    <row r="989" spans="1:11">
      <c r="A989" s="23" t="s">
        <v>499</v>
      </c>
      <c r="B989" s="23">
        <v>21</v>
      </c>
      <c r="C989" s="23">
        <v>26</v>
      </c>
      <c r="D989" s="224">
        <v>65</v>
      </c>
      <c r="E989" s="224">
        <v>5148888</v>
      </c>
      <c r="F989" s="224">
        <v>67462</v>
      </c>
      <c r="G989" s="224">
        <v>1797027</v>
      </c>
      <c r="H989" s="224">
        <v>41000</v>
      </c>
      <c r="I989" s="224">
        <v>519141</v>
      </c>
      <c r="J989" s="224">
        <v>1400</v>
      </c>
      <c r="K989" s="224"/>
    </row>
    <row r="990" spans="1:11">
      <c r="A990" s="23" t="s">
        <v>499</v>
      </c>
      <c r="B990" s="23">
        <v>21</v>
      </c>
      <c r="C990" s="23">
        <v>27</v>
      </c>
      <c r="D990" s="224">
        <v>10700</v>
      </c>
      <c r="E990" s="224">
        <v>8471154</v>
      </c>
      <c r="F990" s="224">
        <v>1380557</v>
      </c>
      <c r="G990" s="224">
        <v>3765815</v>
      </c>
      <c r="H990" s="224">
        <v>95964</v>
      </c>
      <c r="I990" s="224">
        <v>787091</v>
      </c>
      <c r="J990" s="224">
        <v>196</v>
      </c>
      <c r="K990" s="224"/>
    </row>
    <row r="991" spans="1:11">
      <c r="A991" s="23" t="s">
        <v>499</v>
      </c>
      <c r="B991" s="23">
        <v>21</v>
      </c>
      <c r="C991" s="23">
        <v>31</v>
      </c>
      <c r="D991" s="224"/>
      <c r="E991" s="224">
        <v>1099</v>
      </c>
      <c r="F991" s="224"/>
      <c r="G991" s="224">
        <v>244</v>
      </c>
      <c r="H991" s="224"/>
      <c r="I991" s="224">
        <v>20055</v>
      </c>
      <c r="J991" s="224"/>
      <c r="K991" s="224"/>
    </row>
    <row r="992" spans="1:11">
      <c r="A992" s="23" t="s">
        <v>499</v>
      </c>
      <c r="B992" s="23">
        <v>21</v>
      </c>
      <c r="C992" s="23">
        <v>34</v>
      </c>
      <c r="D992" s="224"/>
      <c r="E992" s="224">
        <v>210414</v>
      </c>
      <c r="F992" s="224"/>
      <c r="G992" s="224">
        <v>45609</v>
      </c>
      <c r="H992" s="224"/>
      <c r="I992" s="224"/>
      <c r="J992" s="224"/>
      <c r="K992" s="224"/>
    </row>
    <row r="993" spans="1:11">
      <c r="A993" s="23" t="s">
        <v>499</v>
      </c>
      <c r="B993" s="23">
        <v>23</v>
      </c>
      <c r="C993" s="23">
        <v>27</v>
      </c>
      <c r="D993" s="224"/>
      <c r="E993" s="224">
        <v>83243</v>
      </c>
      <c r="F993" s="224">
        <v>36654</v>
      </c>
      <c r="G993" s="224">
        <v>40911</v>
      </c>
      <c r="H993" s="224">
        <v>13753</v>
      </c>
      <c r="I993" s="224"/>
      <c r="J993" s="224"/>
      <c r="K993" s="224"/>
    </row>
    <row r="994" spans="1:11">
      <c r="A994" s="23" t="s">
        <v>499</v>
      </c>
      <c r="B994" s="23">
        <v>24</v>
      </c>
      <c r="C994" s="23">
        <v>21</v>
      </c>
      <c r="D994" s="224"/>
      <c r="E994" s="224">
        <v>145640</v>
      </c>
      <c r="F994" s="224"/>
      <c r="G994" s="224">
        <v>25903</v>
      </c>
      <c r="H994" s="224"/>
      <c r="I994" s="224"/>
      <c r="J994" s="224"/>
      <c r="K994" s="224"/>
    </row>
    <row r="995" spans="1:11">
      <c r="A995" s="23" t="s">
        <v>499</v>
      </c>
      <c r="B995" s="23">
        <v>24</v>
      </c>
      <c r="C995" s="23">
        <v>27</v>
      </c>
      <c r="D995" s="224"/>
      <c r="E995" s="224"/>
      <c r="F995" s="224">
        <v>1544048</v>
      </c>
      <c r="G995" s="224">
        <v>640121</v>
      </c>
      <c r="H995" s="224"/>
      <c r="I995" s="224">
        <v>520352</v>
      </c>
      <c r="J995" s="224"/>
      <c r="K995" s="224"/>
    </row>
    <row r="996" spans="1:11">
      <c r="A996" s="23" t="s">
        <v>499</v>
      </c>
      <c r="B996" s="23">
        <v>24</v>
      </c>
      <c r="C996" s="23">
        <v>29</v>
      </c>
      <c r="D996" s="224"/>
      <c r="E996" s="224"/>
      <c r="F996" s="224"/>
      <c r="G996" s="224"/>
      <c r="H996" s="224"/>
      <c r="I996" s="224">
        <v>182530</v>
      </c>
      <c r="J996" s="224"/>
      <c r="K996" s="224"/>
    </row>
    <row r="997" spans="1:11">
      <c r="A997" s="23" t="s">
        <v>499</v>
      </c>
      <c r="B997" s="23">
        <v>24</v>
      </c>
      <c r="C997" s="23">
        <v>31</v>
      </c>
      <c r="D997" s="224"/>
      <c r="E997" s="224">
        <v>1200</v>
      </c>
      <c r="F997" s="224"/>
      <c r="G997" s="224">
        <v>259</v>
      </c>
      <c r="H997" s="224">
        <v>826</v>
      </c>
      <c r="I997" s="224">
        <v>112863</v>
      </c>
      <c r="J997" s="224"/>
      <c r="K997" s="224"/>
    </row>
    <row r="998" spans="1:11">
      <c r="A998" s="23" t="s">
        <v>499</v>
      </c>
      <c r="B998" s="23">
        <v>24</v>
      </c>
      <c r="C998" s="23">
        <v>33</v>
      </c>
      <c r="D998" s="224"/>
      <c r="E998" s="224"/>
      <c r="F998" s="224"/>
      <c r="G998" s="224"/>
      <c r="H998" s="224">
        <v>4817</v>
      </c>
      <c r="I998" s="224"/>
      <c r="J998" s="224"/>
      <c r="K998" s="224"/>
    </row>
    <row r="999" spans="1:11">
      <c r="A999" s="23" t="s">
        <v>499</v>
      </c>
      <c r="B999" s="23">
        <v>29</v>
      </c>
      <c r="C999" s="23">
        <v>27</v>
      </c>
      <c r="D999" s="224"/>
      <c r="E999" s="224"/>
      <c r="F999" s="224">
        <v>46463</v>
      </c>
      <c r="G999" s="224">
        <v>28389</v>
      </c>
      <c r="H999" s="224">
        <v>112221</v>
      </c>
      <c r="I999" s="224"/>
      <c r="J999" s="224"/>
      <c r="K999" s="224"/>
    </row>
    <row r="1000" spans="1:11">
      <c r="A1000" s="23" t="s">
        <v>38</v>
      </c>
      <c r="B1000" s="23">
        <v>21</v>
      </c>
      <c r="C1000" s="23">
        <v>21</v>
      </c>
      <c r="D1000" s="224"/>
      <c r="E1000" s="224"/>
      <c r="F1000" s="224">
        <v>23537</v>
      </c>
      <c r="G1000" s="224">
        <v>11168</v>
      </c>
      <c r="H1000" s="224"/>
      <c r="I1000" s="224"/>
      <c r="J1000" s="224"/>
      <c r="K1000" s="224"/>
    </row>
    <row r="1001" spans="1:11">
      <c r="A1001" s="23" t="s">
        <v>38</v>
      </c>
      <c r="B1001" s="23">
        <v>21</v>
      </c>
      <c r="C1001" s="23">
        <v>26</v>
      </c>
      <c r="D1001" s="224"/>
      <c r="E1001" s="224"/>
      <c r="F1001" s="224"/>
      <c r="G1001" s="224"/>
      <c r="H1001" s="224"/>
      <c r="I1001" s="224">
        <v>170000</v>
      </c>
      <c r="J1001" s="224"/>
      <c r="K1001" s="224"/>
    </row>
    <row r="1002" spans="1:11">
      <c r="A1002" s="23" t="s">
        <v>38</v>
      </c>
      <c r="B1002" s="23">
        <v>21</v>
      </c>
      <c r="C1002" s="23">
        <v>27</v>
      </c>
      <c r="D1002" s="224"/>
      <c r="E1002" s="224">
        <v>173082</v>
      </c>
      <c r="F1002" s="224">
        <v>157697</v>
      </c>
      <c r="G1002" s="224">
        <v>155834</v>
      </c>
      <c r="H1002" s="224">
        <v>1250</v>
      </c>
      <c r="I1002" s="224">
        <v>5000</v>
      </c>
      <c r="J1002" s="224"/>
      <c r="K1002" s="224"/>
    </row>
    <row r="1003" spans="1:11">
      <c r="A1003" s="23" t="s">
        <v>38</v>
      </c>
      <c r="B1003" s="23">
        <v>24</v>
      </c>
      <c r="C1003" s="23">
        <v>26</v>
      </c>
      <c r="D1003" s="224"/>
      <c r="E1003" s="224"/>
      <c r="F1003" s="224"/>
      <c r="G1003" s="224"/>
      <c r="H1003" s="224"/>
      <c r="I1003" s="224">
        <v>57250</v>
      </c>
      <c r="J1003" s="224"/>
      <c r="K1003" s="224"/>
    </row>
    <row r="1004" spans="1:11">
      <c r="A1004" s="23" t="s">
        <v>38</v>
      </c>
      <c r="B1004" s="23">
        <v>24</v>
      </c>
      <c r="C1004" s="23">
        <v>27</v>
      </c>
      <c r="D1004" s="224"/>
      <c r="E1004" s="224"/>
      <c r="F1004" s="224">
        <v>2223</v>
      </c>
      <c r="G1004" s="224">
        <v>1331</v>
      </c>
      <c r="H1004" s="224">
        <v>10</v>
      </c>
      <c r="I1004" s="224"/>
      <c r="J1004" s="224"/>
      <c r="K1004" s="224"/>
    </row>
    <row r="1005" spans="1:11">
      <c r="A1005" s="23" t="s">
        <v>39</v>
      </c>
      <c r="B1005" s="23">
        <v>21</v>
      </c>
      <c r="C1005" s="23">
        <v>21</v>
      </c>
      <c r="D1005" s="224"/>
      <c r="E1005" s="224">
        <v>148124</v>
      </c>
      <c r="F1005" s="224">
        <v>7532</v>
      </c>
      <c r="G1005" s="224">
        <v>47968</v>
      </c>
      <c r="H1005" s="224">
        <v>24300</v>
      </c>
      <c r="I1005" s="224">
        <v>16000</v>
      </c>
      <c r="J1005" s="224"/>
      <c r="K1005" s="224"/>
    </row>
    <row r="1006" spans="1:11">
      <c r="A1006" s="23" t="s">
        <v>39</v>
      </c>
      <c r="B1006" s="23">
        <v>21</v>
      </c>
      <c r="C1006" s="23">
        <v>24</v>
      </c>
      <c r="D1006" s="224"/>
      <c r="E1006" s="224">
        <v>56155</v>
      </c>
      <c r="F1006" s="224"/>
      <c r="G1006" s="224">
        <v>12469</v>
      </c>
      <c r="H1006" s="224">
        <v>1700</v>
      </c>
      <c r="I1006" s="224"/>
      <c r="J1006" s="224"/>
      <c r="K1006" s="224"/>
    </row>
    <row r="1007" spans="1:11">
      <c r="A1007" s="23" t="s">
        <v>39</v>
      </c>
      <c r="B1007" s="23">
        <v>21</v>
      </c>
      <c r="C1007" s="23">
        <v>26</v>
      </c>
      <c r="D1007" s="224"/>
      <c r="E1007" s="224">
        <v>3612678</v>
      </c>
      <c r="F1007" s="224">
        <v>142068</v>
      </c>
      <c r="G1007" s="224">
        <v>1388547</v>
      </c>
      <c r="H1007" s="224">
        <v>19750</v>
      </c>
      <c r="I1007" s="224">
        <v>1000</v>
      </c>
      <c r="J1007" s="224">
        <v>4750</v>
      </c>
      <c r="K1007" s="224"/>
    </row>
    <row r="1008" spans="1:11">
      <c r="A1008" s="23" t="s">
        <v>39</v>
      </c>
      <c r="B1008" s="23">
        <v>21</v>
      </c>
      <c r="C1008" s="23">
        <v>27</v>
      </c>
      <c r="D1008" s="224">
        <v>230</v>
      </c>
      <c r="E1008" s="224">
        <v>5361379</v>
      </c>
      <c r="F1008" s="224">
        <v>3452908</v>
      </c>
      <c r="G1008" s="224">
        <v>4367040</v>
      </c>
      <c r="H1008" s="224">
        <v>42984</v>
      </c>
      <c r="I1008" s="224">
        <v>380000</v>
      </c>
      <c r="J1008" s="224">
        <v>4500</v>
      </c>
      <c r="K1008" s="224"/>
    </row>
    <row r="1009" spans="1:11">
      <c r="A1009" s="23" t="s">
        <v>39</v>
      </c>
      <c r="B1009" s="23">
        <v>21</v>
      </c>
      <c r="C1009" s="23">
        <v>31</v>
      </c>
      <c r="D1009" s="224"/>
      <c r="E1009" s="224">
        <v>3391</v>
      </c>
      <c r="F1009" s="224"/>
      <c r="G1009" s="224">
        <v>-5223</v>
      </c>
      <c r="H1009" s="224">
        <v>5000</v>
      </c>
      <c r="I1009" s="224">
        <v>1500</v>
      </c>
      <c r="J1009" s="224"/>
      <c r="K1009" s="224"/>
    </row>
    <row r="1010" spans="1:11">
      <c r="A1010" s="23" t="s">
        <v>39</v>
      </c>
      <c r="B1010" s="23">
        <v>21</v>
      </c>
      <c r="C1010" s="23">
        <v>32</v>
      </c>
      <c r="D1010" s="224"/>
      <c r="E1010" s="224"/>
      <c r="F1010" s="224">
        <v>1500</v>
      </c>
      <c r="G1010" s="224">
        <v>288</v>
      </c>
      <c r="H1010" s="224">
        <v>15000</v>
      </c>
      <c r="I1010" s="224"/>
      <c r="J1010" s="224"/>
      <c r="K1010" s="224"/>
    </row>
    <row r="1011" spans="1:11">
      <c r="A1011" s="23" t="s">
        <v>39</v>
      </c>
      <c r="B1011" s="23">
        <v>21</v>
      </c>
      <c r="C1011" s="23">
        <v>33</v>
      </c>
      <c r="D1011" s="224"/>
      <c r="E1011" s="224"/>
      <c r="F1011" s="224"/>
      <c r="G1011" s="224"/>
      <c r="H1011" s="224">
        <v>65250</v>
      </c>
      <c r="I1011" s="224"/>
      <c r="J1011" s="224"/>
      <c r="K1011" s="224"/>
    </row>
    <row r="1012" spans="1:11">
      <c r="A1012" s="23" t="s">
        <v>39</v>
      </c>
      <c r="B1012" s="23">
        <v>21</v>
      </c>
      <c r="C1012" s="23">
        <v>34</v>
      </c>
      <c r="D1012" s="224"/>
      <c r="E1012" s="224">
        <v>156902</v>
      </c>
      <c r="F1012" s="224"/>
      <c r="G1012" s="224">
        <v>56201</v>
      </c>
      <c r="H1012" s="224"/>
      <c r="I1012" s="224"/>
      <c r="J1012" s="224"/>
      <c r="K1012" s="224"/>
    </row>
    <row r="1013" spans="1:11">
      <c r="A1013" s="23" t="s">
        <v>39</v>
      </c>
      <c r="B1013" s="23">
        <v>24</v>
      </c>
      <c r="C1013" s="23">
        <v>21</v>
      </c>
      <c r="D1013" s="224"/>
      <c r="E1013" s="224"/>
      <c r="F1013" s="224">
        <v>206736</v>
      </c>
      <c r="G1013" s="224">
        <v>92319</v>
      </c>
      <c r="H1013" s="224"/>
      <c r="I1013" s="224"/>
      <c r="J1013" s="224"/>
      <c r="K1013" s="224"/>
    </row>
    <row r="1014" spans="1:11">
      <c r="A1014" s="23" t="s">
        <v>39</v>
      </c>
      <c r="B1014" s="23">
        <v>24</v>
      </c>
      <c r="C1014" s="23">
        <v>24</v>
      </c>
      <c r="D1014" s="224"/>
      <c r="E1014" s="224">
        <v>490393</v>
      </c>
      <c r="F1014" s="224"/>
      <c r="G1014" s="224">
        <v>171526</v>
      </c>
      <c r="H1014" s="224"/>
      <c r="I1014" s="224"/>
      <c r="J1014" s="224"/>
      <c r="K1014" s="224"/>
    </row>
    <row r="1015" spans="1:11">
      <c r="A1015" s="23" t="s">
        <v>39</v>
      </c>
      <c r="B1015" s="23">
        <v>24</v>
      </c>
      <c r="C1015" s="23">
        <v>26</v>
      </c>
      <c r="D1015" s="224"/>
      <c r="E1015" s="224">
        <v>104069</v>
      </c>
      <c r="F1015" s="224"/>
      <c r="G1015" s="224">
        <v>35254</v>
      </c>
      <c r="H1015" s="224"/>
      <c r="I1015" s="224"/>
      <c r="J1015" s="224"/>
      <c r="K1015" s="224"/>
    </row>
    <row r="1016" spans="1:11">
      <c r="A1016" s="23" t="s">
        <v>39</v>
      </c>
      <c r="B1016" s="23">
        <v>24</v>
      </c>
      <c r="C1016" s="23">
        <v>27</v>
      </c>
      <c r="D1016" s="224"/>
      <c r="E1016" s="224">
        <v>452183</v>
      </c>
      <c r="F1016" s="224">
        <v>22082</v>
      </c>
      <c r="G1016" s="224">
        <v>173833</v>
      </c>
      <c r="H1016" s="224">
        <v>36381</v>
      </c>
      <c r="I1016" s="224"/>
      <c r="J1016" s="224"/>
      <c r="K1016" s="224"/>
    </row>
    <row r="1017" spans="1:11">
      <c r="A1017" s="23" t="s">
        <v>39</v>
      </c>
      <c r="B1017" s="23">
        <v>24</v>
      </c>
      <c r="C1017" s="23">
        <v>31</v>
      </c>
      <c r="D1017" s="224"/>
      <c r="E1017" s="224">
        <v>18259</v>
      </c>
      <c r="F1017" s="224"/>
      <c r="G1017" s="224">
        <v>5631</v>
      </c>
      <c r="H1017" s="224"/>
      <c r="I1017" s="224"/>
      <c r="J1017" s="224"/>
      <c r="K1017" s="224"/>
    </row>
    <row r="1018" spans="1:11">
      <c r="A1018" s="23" t="s">
        <v>39</v>
      </c>
      <c r="B1018" s="23">
        <v>24</v>
      </c>
      <c r="C1018" s="23">
        <v>32</v>
      </c>
      <c r="D1018" s="224"/>
      <c r="E1018" s="224"/>
      <c r="F1018" s="224">
        <v>31624</v>
      </c>
      <c r="G1018" s="224">
        <v>19613</v>
      </c>
      <c r="H1018" s="224"/>
      <c r="I1018" s="224"/>
      <c r="J1018" s="224"/>
      <c r="K1018" s="224"/>
    </row>
    <row r="1019" spans="1:11">
      <c r="A1019" s="23" t="s">
        <v>41</v>
      </c>
      <c r="B1019" s="23">
        <v>21</v>
      </c>
      <c r="C1019" s="23">
        <v>21</v>
      </c>
      <c r="D1019" s="224"/>
      <c r="E1019" s="224">
        <v>114204</v>
      </c>
      <c r="F1019" s="224">
        <v>60699</v>
      </c>
      <c r="G1019" s="224">
        <v>61380</v>
      </c>
      <c r="H1019" s="224">
        <v>1500</v>
      </c>
      <c r="I1019" s="224">
        <v>7000</v>
      </c>
      <c r="J1019" s="224">
        <v>2000</v>
      </c>
      <c r="K1019" s="224"/>
    </row>
    <row r="1020" spans="1:11">
      <c r="A1020" s="23" t="s">
        <v>41</v>
      </c>
      <c r="B1020" s="23">
        <v>21</v>
      </c>
      <c r="C1020" s="23">
        <v>26</v>
      </c>
      <c r="D1020" s="224"/>
      <c r="E1020" s="224">
        <v>455842</v>
      </c>
      <c r="F1020" s="224">
        <v>40470</v>
      </c>
      <c r="G1020" s="224">
        <v>194974</v>
      </c>
      <c r="H1020" s="224"/>
      <c r="I1020" s="224"/>
      <c r="J1020" s="224"/>
      <c r="K1020" s="224"/>
    </row>
    <row r="1021" spans="1:11">
      <c r="A1021" s="23" t="s">
        <v>41</v>
      </c>
      <c r="B1021" s="23">
        <v>21</v>
      </c>
      <c r="C1021" s="23">
        <v>27</v>
      </c>
      <c r="D1021" s="224"/>
      <c r="E1021" s="224">
        <v>522756</v>
      </c>
      <c r="F1021" s="224">
        <v>554253</v>
      </c>
      <c r="G1021" s="224">
        <v>631938</v>
      </c>
      <c r="H1021" s="224">
        <v>22358</v>
      </c>
      <c r="I1021" s="224">
        <v>300000</v>
      </c>
      <c r="J1021" s="224"/>
      <c r="K1021" s="224"/>
    </row>
    <row r="1022" spans="1:11">
      <c r="A1022" s="23" t="s">
        <v>41</v>
      </c>
      <c r="B1022" s="23">
        <v>21</v>
      </c>
      <c r="C1022" s="23">
        <v>31</v>
      </c>
      <c r="D1022" s="224"/>
      <c r="E1022" s="224"/>
      <c r="F1022" s="224"/>
      <c r="G1022" s="224"/>
      <c r="H1022" s="224"/>
      <c r="I1022" s="224">
        <v>5000</v>
      </c>
      <c r="J1022" s="224"/>
      <c r="K1022" s="224"/>
    </row>
    <row r="1023" spans="1:11">
      <c r="A1023" s="23" t="s">
        <v>41</v>
      </c>
      <c r="B1023" s="23">
        <v>21</v>
      </c>
      <c r="C1023" s="23">
        <v>34</v>
      </c>
      <c r="D1023" s="224"/>
      <c r="E1023" s="224">
        <v>24963</v>
      </c>
      <c r="F1023" s="224"/>
      <c r="G1023" s="224">
        <v>5656</v>
      </c>
      <c r="H1023" s="224"/>
      <c r="I1023" s="224"/>
      <c r="J1023" s="224"/>
      <c r="K1023" s="224"/>
    </row>
    <row r="1024" spans="1:11">
      <c r="A1024" s="23" t="s">
        <v>41</v>
      </c>
      <c r="B1024" s="23">
        <v>24</v>
      </c>
      <c r="C1024" s="23">
        <v>27</v>
      </c>
      <c r="D1024" s="224"/>
      <c r="E1024" s="224">
        <v>292966</v>
      </c>
      <c r="F1024" s="224"/>
      <c r="G1024" s="224">
        <v>123827</v>
      </c>
      <c r="H1024" s="224"/>
      <c r="I1024" s="224"/>
      <c r="J1024" s="224"/>
      <c r="K1024" s="224"/>
    </row>
    <row r="1025" spans="1:11">
      <c r="A1025" s="23" t="s">
        <v>41</v>
      </c>
      <c r="B1025" s="23">
        <v>26</v>
      </c>
      <c r="C1025" s="23">
        <v>21</v>
      </c>
      <c r="D1025" s="224"/>
      <c r="E1025" s="224">
        <v>19588</v>
      </c>
      <c r="F1025" s="224">
        <v>5278</v>
      </c>
      <c r="G1025" s="224">
        <v>8551</v>
      </c>
      <c r="H1025" s="224"/>
      <c r="I1025" s="224"/>
      <c r="J1025" s="224"/>
      <c r="K1025" s="224"/>
    </row>
    <row r="1026" spans="1:11">
      <c r="A1026" s="23" t="s">
        <v>41</v>
      </c>
      <c r="B1026" s="23">
        <v>26</v>
      </c>
      <c r="C1026" s="23">
        <v>26</v>
      </c>
      <c r="D1026" s="224"/>
      <c r="E1026" s="224">
        <v>31582</v>
      </c>
      <c r="F1026" s="224"/>
      <c r="G1026" s="224">
        <v>12768</v>
      </c>
      <c r="H1026" s="224"/>
      <c r="I1026" s="224">
        <v>19686</v>
      </c>
      <c r="J1026" s="224"/>
      <c r="K1026" s="224"/>
    </row>
    <row r="1027" spans="1:11">
      <c r="A1027" s="23" t="s">
        <v>41</v>
      </c>
      <c r="B1027" s="23">
        <v>26</v>
      </c>
      <c r="C1027" s="23">
        <v>27</v>
      </c>
      <c r="D1027" s="224"/>
      <c r="E1027" s="224">
        <v>40260</v>
      </c>
      <c r="F1027" s="224">
        <v>23045</v>
      </c>
      <c r="G1027" s="224">
        <v>35261</v>
      </c>
      <c r="H1027" s="224"/>
      <c r="I1027" s="224"/>
      <c r="J1027" s="224"/>
      <c r="K1027" s="224"/>
    </row>
    <row r="1028" spans="1:11">
      <c r="A1028" s="23" t="s">
        <v>41</v>
      </c>
      <c r="B1028" s="23">
        <v>26</v>
      </c>
      <c r="C1028" s="23">
        <v>34</v>
      </c>
      <c r="D1028" s="224"/>
      <c r="E1028" s="224">
        <v>639</v>
      </c>
      <c r="F1028" s="224"/>
      <c r="G1028" s="224">
        <v>145</v>
      </c>
      <c r="H1028" s="224"/>
      <c r="I1028" s="224"/>
      <c r="J1028" s="224"/>
      <c r="K1028" s="224"/>
    </row>
    <row r="1029" spans="1:11">
      <c r="A1029" s="23" t="s">
        <v>41</v>
      </c>
      <c r="B1029" s="23">
        <v>29</v>
      </c>
      <c r="C1029" s="23">
        <v>27</v>
      </c>
      <c r="D1029" s="224"/>
      <c r="E1029" s="224"/>
      <c r="F1029" s="224">
        <v>68370</v>
      </c>
      <c r="G1029" s="224">
        <v>51484</v>
      </c>
      <c r="H1029" s="224"/>
      <c r="I1029" s="224"/>
      <c r="J1029" s="224"/>
      <c r="K1029" s="224"/>
    </row>
    <row r="1030" spans="1:11">
      <c r="A1030" s="23" t="s">
        <v>43</v>
      </c>
      <c r="B1030" s="23">
        <v>21</v>
      </c>
      <c r="C1030" s="23">
        <v>21</v>
      </c>
      <c r="D1030" s="224"/>
      <c r="E1030" s="224">
        <v>183807</v>
      </c>
      <c r="F1030" s="224">
        <v>120494</v>
      </c>
      <c r="G1030" s="224">
        <v>95288</v>
      </c>
      <c r="H1030" s="224">
        <v>6000</v>
      </c>
      <c r="I1030" s="224">
        <v>54000</v>
      </c>
      <c r="J1030" s="224">
        <v>5000</v>
      </c>
      <c r="K1030" s="224">
        <v>2500</v>
      </c>
    </row>
    <row r="1031" spans="1:11">
      <c r="A1031" s="23" t="s">
        <v>43</v>
      </c>
      <c r="B1031" s="23">
        <v>21</v>
      </c>
      <c r="C1031" s="23">
        <v>24</v>
      </c>
      <c r="D1031" s="224"/>
      <c r="E1031" s="224">
        <v>42602</v>
      </c>
      <c r="F1031" s="224"/>
      <c r="G1031" s="224">
        <v>17882</v>
      </c>
      <c r="H1031" s="224"/>
      <c r="I1031" s="224">
        <v>250</v>
      </c>
      <c r="J1031" s="224"/>
      <c r="K1031" s="224"/>
    </row>
    <row r="1032" spans="1:11">
      <c r="A1032" s="23" t="s">
        <v>43</v>
      </c>
      <c r="B1032" s="23">
        <v>21</v>
      </c>
      <c r="C1032" s="23">
        <v>25</v>
      </c>
      <c r="D1032" s="224"/>
      <c r="E1032" s="224"/>
      <c r="F1032" s="224">
        <v>750</v>
      </c>
      <c r="G1032" s="224">
        <v>158</v>
      </c>
      <c r="H1032" s="224"/>
      <c r="I1032" s="224"/>
      <c r="J1032" s="224"/>
      <c r="K1032" s="224"/>
    </row>
    <row r="1033" spans="1:11">
      <c r="A1033" s="23" t="s">
        <v>43</v>
      </c>
      <c r="B1033" s="23">
        <v>21</v>
      </c>
      <c r="C1033" s="23">
        <v>26</v>
      </c>
      <c r="D1033" s="224"/>
      <c r="E1033" s="224">
        <v>1402526</v>
      </c>
      <c r="F1033" s="224">
        <v>153267</v>
      </c>
      <c r="G1033" s="224">
        <v>589015</v>
      </c>
      <c r="H1033" s="224">
        <v>21300</v>
      </c>
      <c r="I1033" s="224">
        <v>184000</v>
      </c>
      <c r="J1033" s="224">
        <v>5000</v>
      </c>
      <c r="K1033" s="224">
        <v>4000</v>
      </c>
    </row>
    <row r="1034" spans="1:11">
      <c r="A1034" s="23" t="s">
        <v>43</v>
      </c>
      <c r="B1034" s="23">
        <v>21</v>
      </c>
      <c r="C1034" s="23">
        <v>27</v>
      </c>
      <c r="D1034" s="224"/>
      <c r="E1034" s="224">
        <v>1963678</v>
      </c>
      <c r="F1034" s="224">
        <v>2086667</v>
      </c>
      <c r="G1034" s="224">
        <v>1758856</v>
      </c>
      <c r="H1034" s="224">
        <v>16300</v>
      </c>
      <c r="I1034" s="224">
        <v>333909</v>
      </c>
      <c r="J1034" s="224">
        <v>14000</v>
      </c>
      <c r="K1034" s="224">
        <v>5000</v>
      </c>
    </row>
    <row r="1035" spans="1:11">
      <c r="A1035" s="23" t="s">
        <v>43</v>
      </c>
      <c r="B1035" s="23">
        <v>21</v>
      </c>
      <c r="C1035" s="23">
        <v>31</v>
      </c>
      <c r="D1035" s="224">
        <v>2925</v>
      </c>
      <c r="E1035" s="224">
        <v>263583</v>
      </c>
      <c r="F1035" s="224">
        <v>3801</v>
      </c>
      <c r="G1035" s="224">
        <v>84090</v>
      </c>
      <c r="H1035" s="224">
        <v>12500</v>
      </c>
      <c r="I1035" s="224">
        <v>14000</v>
      </c>
      <c r="J1035" s="224"/>
      <c r="K1035" s="224"/>
    </row>
    <row r="1036" spans="1:11">
      <c r="A1036" s="23" t="s">
        <v>43</v>
      </c>
      <c r="B1036" s="23">
        <v>21</v>
      </c>
      <c r="C1036" s="23">
        <v>33</v>
      </c>
      <c r="D1036" s="224"/>
      <c r="E1036" s="224"/>
      <c r="F1036" s="224"/>
      <c r="G1036" s="224"/>
      <c r="H1036" s="224">
        <v>10000</v>
      </c>
      <c r="I1036" s="224">
        <v>20000</v>
      </c>
      <c r="J1036" s="224"/>
      <c r="K1036" s="224"/>
    </row>
    <row r="1037" spans="1:11">
      <c r="A1037" s="23" t="s">
        <v>43</v>
      </c>
      <c r="B1037" s="23">
        <v>21</v>
      </c>
      <c r="C1037" s="23">
        <v>34</v>
      </c>
      <c r="D1037" s="224"/>
      <c r="E1037" s="224">
        <v>46255</v>
      </c>
      <c r="F1037" s="224"/>
      <c r="G1037" s="224">
        <v>17961</v>
      </c>
      <c r="H1037" s="224"/>
      <c r="I1037" s="224"/>
      <c r="J1037" s="224"/>
      <c r="K1037" s="224"/>
    </row>
    <row r="1038" spans="1:11">
      <c r="A1038" s="23" t="s">
        <v>43</v>
      </c>
      <c r="B1038" s="23">
        <v>23</v>
      </c>
      <c r="C1038" s="23">
        <v>26</v>
      </c>
      <c r="D1038" s="224"/>
      <c r="E1038" s="224">
        <v>56062</v>
      </c>
      <c r="F1038" s="224">
        <v>5371</v>
      </c>
      <c r="G1038" s="224">
        <v>21247</v>
      </c>
      <c r="H1038" s="224"/>
      <c r="I1038" s="224">
        <v>30000</v>
      </c>
      <c r="J1038" s="224"/>
      <c r="K1038" s="224"/>
    </row>
    <row r="1039" spans="1:11">
      <c r="A1039" s="23" t="s">
        <v>43</v>
      </c>
      <c r="B1039" s="23">
        <v>23</v>
      </c>
      <c r="C1039" s="23">
        <v>27</v>
      </c>
      <c r="D1039" s="224"/>
      <c r="E1039" s="224">
        <v>17500</v>
      </c>
      <c r="F1039" s="224">
        <v>9100</v>
      </c>
      <c r="G1039" s="224">
        <v>5360</v>
      </c>
      <c r="H1039" s="224">
        <v>4000</v>
      </c>
      <c r="I1039" s="224">
        <v>43162</v>
      </c>
      <c r="J1039" s="224"/>
      <c r="K1039" s="224"/>
    </row>
    <row r="1040" spans="1:11">
      <c r="A1040" s="23" t="s">
        <v>43</v>
      </c>
      <c r="B1040" s="23">
        <v>23</v>
      </c>
      <c r="C1040" s="23">
        <v>31</v>
      </c>
      <c r="D1040" s="224"/>
      <c r="E1040" s="224">
        <v>807</v>
      </c>
      <c r="F1040" s="224"/>
      <c r="G1040" s="224">
        <v>286</v>
      </c>
      <c r="H1040" s="224"/>
      <c r="I1040" s="224"/>
      <c r="J1040" s="224"/>
      <c r="K1040" s="224"/>
    </row>
    <row r="1041" spans="1:11">
      <c r="A1041" s="23" t="s">
        <v>43</v>
      </c>
      <c r="B1041" s="23">
        <v>23</v>
      </c>
      <c r="C1041" s="23">
        <v>33</v>
      </c>
      <c r="D1041" s="224"/>
      <c r="E1041" s="224"/>
      <c r="F1041" s="224"/>
      <c r="G1041" s="224"/>
      <c r="H1041" s="224">
        <v>2120</v>
      </c>
      <c r="I1041" s="224"/>
      <c r="J1041" s="224"/>
      <c r="K1041" s="224"/>
    </row>
    <row r="1042" spans="1:11">
      <c r="A1042" s="23" t="s">
        <v>43</v>
      </c>
      <c r="B1042" s="23">
        <v>24</v>
      </c>
      <c r="C1042" s="23">
        <v>24</v>
      </c>
      <c r="D1042" s="224"/>
      <c r="E1042" s="224">
        <v>53923</v>
      </c>
      <c r="F1042" s="224"/>
      <c r="G1042" s="224">
        <v>20414</v>
      </c>
      <c r="H1042" s="224"/>
      <c r="I1042" s="224"/>
      <c r="J1042" s="224"/>
      <c r="K1042" s="224"/>
    </row>
    <row r="1043" spans="1:11">
      <c r="A1043" s="23" t="s">
        <v>43</v>
      </c>
      <c r="B1043" s="23">
        <v>24</v>
      </c>
      <c r="C1043" s="23">
        <v>26</v>
      </c>
      <c r="D1043" s="224"/>
      <c r="E1043" s="224">
        <v>31399</v>
      </c>
      <c r="F1043" s="224"/>
      <c r="G1043" s="224">
        <v>12946</v>
      </c>
      <c r="H1043" s="224"/>
      <c r="I1043" s="224">
        <v>95000</v>
      </c>
      <c r="J1043" s="224"/>
      <c r="K1043" s="224"/>
    </row>
    <row r="1044" spans="1:11">
      <c r="A1044" s="23" t="s">
        <v>43</v>
      </c>
      <c r="B1044" s="23">
        <v>24</v>
      </c>
      <c r="C1044" s="23">
        <v>27</v>
      </c>
      <c r="D1044" s="224"/>
      <c r="E1044" s="224"/>
      <c r="F1044" s="224">
        <v>123622</v>
      </c>
      <c r="G1044" s="224">
        <v>62682</v>
      </c>
      <c r="H1044" s="224">
        <v>23585</v>
      </c>
      <c r="I1044" s="224">
        <v>362986</v>
      </c>
      <c r="J1044" s="224"/>
      <c r="K1044" s="224"/>
    </row>
    <row r="1045" spans="1:11">
      <c r="A1045" s="23" t="s">
        <v>43</v>
      </c>
      <c r="B1045" s="23">
        <v>24</v>
      </c>
      <c r="C1045" s="23">
        <v>31</v>
      </c>
      <c r="D1045" s="224"/>
      <c r="E1045" s="224">
        <v>3806</v>
      </c>
      <c r="F1045" s="224"/>
      <c r="G1045" s="224">
        <v>1122</v>
      </c>
      <c r="H1045" s="224">
        <v>4000</v>
      </c>
      <c r="I1045" s="224">
        <v>7500</v>
      </c>
      <c r="J1045" s="224"/>
      <c r="K1045" s="224"/>
    </row>
    <row r="1046" spans="1:11">
      <c r="A1046" s="23" t="s">
        <v>43</v>
      </c>
      <c r="B1046" s="23">
        <v>24</v>
      </c>
      <c r="C1046" s="23">
        <v>33</v>
      </c>
      <c r="D1046" s="224"/>
      <c r="E1046" s="224"/>
      <c r="F1046" s="224"/>
      <c r="G1046" s="224"/>
      <c r="H1046" s="224">
        <v>4000</v>
      </c>
      <c r="I1046" s="224"/>
      <c r="J1046" s="224"/>
      <c r="K1046" s="224"/>
    </row>
    <row r="1047" spans="1:11">
      <c r="A1047" s="23" t="s">
        <v>45</v>
      </c>
      <c r="B1047" s="23">
        <v>21</v>
      </c>
      <c r="C1047" s="23">
        <v>21</v>
      </c>
      <c r="D1047" s="224"/>
      <c r="E1047" s="224">
        <v>148871</v>
      </c>
      <c r="F1047" s="224">
        <v>58231</v>
      </c>
      <c r="G1047" s="224">
        <v>69539</v>
      </c>
      <c r="H1047" s="224"/>
      <c r="I1047" s="224"/>
      <c r="J1047" s="224"/>
      <c r="K1047" s="224"/>
    </row>
    <row r="1048" spans="1:11">
      <c r="A1048" s="23" t="s">
        <v>45</v>
      </c>
      <c r="B1048" s="23">
        <v>21</v>
      </c>
      <c r="C1048" s="23">
        <v>25</v>
      </c>
      <c r="D1048" s="224"/>
      <c r="E1048" s="224"/>
      <c r="F1048" s="224">
        <v>41524</v>
      </c>
      <c r="G1048" s="224">
        <v>26146</v>
      </c>
      <c r="H1048" s="224"/>
      <c r="I1048" s="224"/>
      <c r="J1048" s="224"/>
      <c r="K1048" s="224"/>
    </row>
    <row r="1049" spans="1:11">
      <c r="A1049" s="23" t="s">
        <v>45</v>
      </c>
      <c r="B1049" s="23">
        <v>21</v>
      </c>
      <c r="C1049" s="23">
        <v>26</v>
      </c>
      <c r="D1049" s="224"/>
      <c r="E1049" s="224">
        <v>522567</v>
      </c>
      <c r="F1049" s="224">
        <v>400</v>
      </c>
      <c r="G1049" s="224">
        <v>187447</v>
      </c>
      <c r="H1049" s="224"/>
      <c r="I1049" s="224">
        <v>4501</v>
      </c>
      <c r="J1049" s="224"/>
      <c r="K1049" s="224"/>
    </row>
    <row r="1050" spans="1:11">
      <c r="A1050" s="23" t="s">
        <v>45</v>
      </c>
      <c r="B1050" s="23">
        <v>21</v>
      </c>
      <c r="C1050" s="23">
        <v>27</v>
      </c>
      <c r="D1050" s="224">
        <v>531</v>
      </c>
      <c r="E1050" s="224">
        <v>671726</v>
      </c>
      <c r="F1050" s="224">
        <v>690684</v>
      </c>
      <c r="G1050" s="224">
        <v>665615</v>
      </c>
      <c r="H1050" s="224">
        <v>18397</v>
      </c>
      <c r="I1050" s="224">
        <v>183865</v>
      </c>
      <c r="J1050" s="224">
        <v>11688</v>
      </c>
      <c r="K1050" s="224"/>
    </row>
    <row r="1051" spans="1:11">
      <c r="A1051" s="23" t="s">
        <v>45</v>
      </c>
      <c r="B1051" s="23">
        <v>21</v>
      </c>
      <c r="C1051" s="23">
        <v>31</v>
      </c>
      <c r="D1051" s="224">
        <v>500</v>
      </c>
      <c r="E1051" s="224"/>
      <c r="F1051" s="224"/>
      <c r="G1051" s="224"/>
      <c r="H1051" s="224">
        <v>1</v>
      </c>
      <c r="I1051" s="224">
        <v>5000</v>
      </c>
      <c r="J1051" s="224">
        <v>1100</v>
      </c>
      <c r="K1051" s="224"/>
    </row>
    <row r="1052" spans="1:11">
      <c r="A1052" s="23" t="s">
        <v>45</v>
      </c>
      <c r="B1052" s="23">
        <v>21</v>
      </c>
      <c r="C1052" s="23">
        <v>34</v>
      </c>
      <c r="D1052" s="224"/>
      <c r="E1052" s="224">
        <v>24542</v>
      </c>
      <c r="F1052" s="224"/>
      <c r="G1052" s="224">
        <v>9358</v>
      </c>
      <c r="H1052" s="224"/>
      <c r="I1052" s="224"/>
      <c r="J1052" s="224"/>
      <c r="K1052" s="224"/>
    </row>
    <row r="1053" spans="1:11">
      <c r="A1053" s="23" t="s">
        <v>45</v>
      </c>
      <c r="B1053" s="23">
        <v>23</v>
      </c>
      <c r="C1053" s="23">
        <v>27</v>
      </c>
      <c r="D1053" s="224"/>
      <c r="E1053" s="224"/>
      <c r="F1053" s="224"/>
      <c r="G1053" s="224"/>
      <c r="H1053" s="224">
        <v>100</v>
      </c>
      <c r="I1053" s="224">
        <v>36816</v>
      </c>
      <c r="J1053" s="224"/>
      <c r="K1053" s="224"/>
    </row>
    <row r="1054" spans="1:11">
      <c r="A1054" s="23" t="s">
        <v>45</v>
      </c>
      <c r="B1054" s="23">
        <v>23</v>
      </c>
      <c r="C1054" s="23">
        <v>31</v>
      </c>
      <c r="D1054" s="224"/>
      <c r="E1054" s="224"/>
      <c r="F1054" s="224"/>
      <c r="G1054" s="224"/>
      <c r="H1054" s="224"/>
      <c r="I1054" s="224">
        <v>491</v>
      </c>
      <c r="J1054" s="224"/>
      <c r="K1054" s="224"/>
    </row>
    <row r="1055" spans="1:11">
      <c r="A1055" s="23" t="s">
        <v>45</v>
      </c>
      <c r="B1055" s="23">
        <v>24</v>
      </c>
      <c r="C1055" s="23">
        <v>27</v>
      </c>
      <c r="D1055" s="224"/>
      <c r="E1055" s="224">
        <v>244104</v>
      </c>
      <c r="F1055" s="224">
        <v>2127</v>
      </c>
      <c r="G1055" s="224">
        <v>90883</v>
      </c>
      <c r="H1055" s="224">
        <v>1018</v>
      </c>
      <c r="I1055" s="224">
        <v>3</v>
      </c>
      <c r="J1055" s="224">
        <v>1</v>
      </c>
      <c r="K1055" s="224"/>
    </row>
    <row r="1056" spans="1:11">
      <c r="A1056" s="23" t="s">
        <v>45</v>
      </c>
      <c r="B1056" s="23">
        <v>24</v>
      </c>
      <c r="C1056" s="23">
        <v>31</v>
      </c>
      <c r="D1056" s="224"/>
      <c r="E1056" s="224"/>
      <c r="F1056" s="224"/>
      <c r="G1056" s="224"/>
      <c r="H1056" s="224"/>
      <c r="I1056" s="224">
        <v>1</v>
      </c>
      <c r="J1056" s="224"/>
      <c r="K1056" s="224"/>
    </row>
    <row r="1057" spans="1:11">
      <c r="A1057" s="23" t="s">
        <v>47</v>
      </c>
      <c r="B1057" s="23">
        <v>21</v>
      </c>
      <c r="C1057" s="23">
        <v>26</v>
      </c>
      <c r="D1057" s="224"/>
      <c r="E1057" s="224"/>
      <c r="F1057" s="224">
        <v>4385</v>
      </c>
      <c r="G1057" s="224">
        <v>2498</v>
      </c>
      <c r="H1057" s="224"/>
      <c r="I1057" s="224"/>
      <c r="J1057" s="224"/>
      <c r="K1057" s="224"/>
    </row>
    <row r="1058" spans="1:11">
      <c r="A1058" s="23" t="s">
        <v>47</v>
      </c>
      <c r="B1058" s="23">
        <v>21</v>
      </c>
      <c r="C1058" s="23">
        <v>27</v>
      </c>
      <c r="D1058" s="224"/>
      <c r="E1058" s="224">
        <v>375</v>
      </c>
      <c r="F1058" s="224">
        <v>201412</v>
      </c>
      <c r="G1058" s="224">
        <v>128018</v>
      </c>
      <c r="H1058" s="224"/>
      <c r="I1058" s="224">
        <v>924496</v>
      </c>
      <c r="J1058" s="224"/>
      <c r="K1058" s="224"/>
    </row>
    <row r="1059" spans="1:11">
      <c r="A1059" s="23" t="s">
        <v>69</v>
      </c>
      <c r="B1059" s="23">
        <v>21</v>
      </c>
      <c r="C1059" s="23">
        <v>27</v>
      </c>
      <c r="D1059" s="224"/>
      <c r="E1059" s="224"/>
      <c r="F1059" s="224"/>
      <c r="G1059" s="224"/>
      <c r="H1059" s="224"/>
      <c r="I1059" s="224">
        <v>83401</v>
      </c>
      <c r="J1059" s="224"/>
      <c r="K1059" s="224"/>
    </row>
    <row r="1060" spans="1:11">
      <c r="A1060" s="23" t="s">
        <v>71</v>
      </c>
      <c r="B1060" s="23">
        <v>21</v>
      </c>
      <c r="C1060" s="23">
        <v>21</v>
      </c>
      <c r="D1060" s="224"/>
      <c r="E1060" s="224">
        <v>464137</v>
      </c>
      <c r="F1060" s="224">
        <v>133771</v>
      </c>
      <c r="G1060" s="224">
        <v>192566</v>
      </c>
      <c r="H1060" s="224">
        <v>12000</v>
      </c>
      <c r="I1060" s="224">
        <v>21200</v>
      </c>
      <c r="J1060" s="224"/>
      <c r="K1060" s="224"/>
    </row>
    <row r="1061" spans="1:11">
      <c r="A1061" s="23" t="s">
        <v>71</v>
      </c>
      <c r="B1061" s="23">
        <v>21</v>
      </c>
      <c r="C1061" s="23">
        <v>25</v>
      </c>
      <c r="D1061" s="224"/>
      <c r="E1061" s="224"/>
      <c r="F1061" s="224"/>
      <c r="G1061" s="224"/>
      <c r="H1061" s="224"/>
      <c r="I1061" s="224">
        <v>12000</v>
      </c>
      <c r="J1061" s="224"/>
      <c r="K1061" s="224"/>
    </row>
    <row r="1062" spans="1:11">
      <c r="A1062" s="23" t="s">
        <v>71</v>
      </c>
      <c r="B1062" s="23">
        <v>21</v>
      </c>
      <c r="C1062" s="23">
        <v>26</v>
      </c>
      <c r="D1062" s="224"/>
      <c r="E1062" s="224">
        <v>2131316</v>
      </c>
      <c r="F1062" s="224">
        <v>167518</v>
      </c>
      <c r="G1062" s="224">
        <v>859844</v>
      </c>
      <c r="H1062" s="224">
        <v>19000</v>
      </c>
      <c r="I1062" s="224">
        <v>55000</v>
      </c>
      <c r="J1062" s="224"/>
      <c r="K1062" s="224"/>
    </row>
    <row r="1063" spans="1:11">
      <c r="A1063" s="23" t="s">
        <v>71</v>
      </c>
      <c r="B1063" s="23">
        <v>21</v>
      </c>
      <c r="C1063" s="23">
        <v>27</v>
      </c>
      <c r="D1063" s="224">
        <v>600</v>
      </c>
      <c r="E1063" s="224">
        <v>2461328</v>
      </c>
      <c r="F1063" s="224">
        <v>2867537</v>
      </c>
      <c r="G1063" s="224">
        <v>2478582</v>
      </c>
      <c r="H1063" s="224">
        <v>13500</v>
      </c>
      <c r="I1063" s="224">
        <v>340500</v>
      </c>
      <c r="J1063" s="224"/>
      <c r="K1063" s="224"/>
    </row>
    <row r="1064" spans="1:11">
      <c r="A1064" s="23" t="s">
        <v>71</v>
      </c>
      <c r="B1064" s="23">
        <v>21</v>
      </c>
      <c r="C1064" s="23">
        <v>31</v>
      </c>
      <c r="D1064" s="224"/>
      <c r="E1064" s="224">
        <v>40605</v>
      </c>
      <c r="F1064" s="224"/>
      <c r="G1064" s="224">
        <v>14779</v>
      </c>
      <c r="H1064" s="224"/>
      <c r="I1064" s="224">
        <v>34300</v>
      </c>
      <c r="J1064" s="224"/>
      <c r="K1064" s="224"/>
    </row>
    <row r="1065" spans="1:11">
      <c r="A1065" s="23" t="s">
        <v>71</v>
      </c>
      <c r="B1065" s="23">
        <v>21</v>
      </c>
      <c r="C1065" s="23">
        <v>33</v>
      </c>
      <c r="D1065" s="224"/>
      <c r="E1065" s="224"/>
      <c r="F1065" s="224"/>
      <c r="G1065" s="224"/>
      <c r="H1065" s="224">
        <v>15000</v>
      </c>
      <c r="I1065" s="224"/>
      <c r="J1065" s="224"/>
      <c r="K1065" s="224"/>
    </row>
    <row r="1066" spans="1:11">
      <c r="A1066" s="23" t="s">
        <v>71</v>
      </c>
      <c r="B1066" s="23">
        <v>21</v>
      </c>
      <c r="C1066" s="23">
        <v>34</v>
      </c>
      <c r="D1066" s="224"/>
      <c r="E1066" s="224">
        <v>58497</v>
      </c>
      <c r="F1066" s="224"/>
      <c r="G1066" s="224">
        <v>21613</v>
      </c>
      <c r="H1066" s="224"/>
      <c r="I1066" s="224"/>
      <c r="J1066" s="224"/>
      <c r="K1066" s="224"/>
    </row>
    <row r="1067" spans="1:11">
      <c r="A1067" s="23" t="s">
        <v>71</v>
      </c>
      <c r="B1067" s="23">
        <v>23</v>
      </c>
      <c r="C1067" s="23">
        <v>27</v>
      </c>
      <c r="D1067" s="224"/>
      <c r="E1067" s="224"/>
      <c r="F1067" s="224"/>
      <c r="G1067" s="224"/>
      <c r="H1067" s="224">
        <v>23467</v>
      </c>
      <c r="I1067" s="224">
        <v>125240</v>
      </c>
      <c r="J1067" s="224"/>
      <c r="K1067" s="224"/>
    </row>
    <row r="1068" spans="1:11">
      <c r="A1068" s="23" t="s">
        <v>71</v>
      </c>
      <c r="B1068" s="23">
        <v>24</v>
      </c>
      <c r="C1068" s="23">
        <v>26</v>
      </c>
      <c r="D1068" s="224"/>
      <c r="E1068" s="224">
        <v>117513</v>
      </c>
      <c r="F1068" s="224"/>
      <c r="G1068" s="224">
        <v>39648</v>
      </c>
      <c r="H1068" s="224"/>
      <c r="I1068" s="224"/>
      <c r="J1068" s="224"/>
      <c r="K1068" s="224"/>
    </row>
    <row r="1069" spans="1:11">
      <c r="A1069" s="23" t="s">
        <v>71</v>
      </c>
      <c r="B1069" s="23">
        <v>24</v>
      </c>
      <c r="C1069" s="23">
        <v>27</v>
      </c>
      <c r="D1069" s="224"/>
      <c r="E1069" s="224">
        <v>757738</v>
      </c>
      <c r="F1069" s="224"/>
      <c r="G1069" s="224">
        <v>273404</v>
      </c>
      <c r="H1069" s="224"/>
      <c r="I1069" s="224"/>
      <c r="J1069" s="224"/>
      <c r="K1069" s="224"/>
    </row>
    <row r="1070" spans="1:11">
      <c r="A1070" s="23" t="s">
        <v>71</v>
      </c>
      <c r="B1070" s="23">
        <v>24</v>
      </c>
      <c r="C1070" s="23">
        <v>31</v>
      </c>
      <c r="D1070" s="224"/>
      <c r="E1070" s="224">
        <v>22064</v>
      </c>
      <c r="F1070" s="224"/>
      <c r="G1070" s="224">
        <v>8192</v>
      </c>
      <c r="H1070" s="224"/>
      <c r="I1070" s="224"/>
      <c r="J1070" s="224"/>
      <c r="K1070" s="224"/>
    </row>
    <row r="1071" spans="1:11">
      <c r="A1071" s="23" t="s">
        <v>73</v>
      </c>
      <c r="B1071" s="23">
        <v>21</v>
      </c>
      <c r="C1071" s="23">
        <v>21</v>
      </c>
      <c r="D1071" s="224"/>
      <c r="E1071" s="224">
        <v>16337</v>
      </c>
      <c r="F1071" s="224">
        <v>39437</v>
      </c>
      <c r="G1071" s="224">
        <v>20330</v>
      </c>
      <c r="H1071" s="224">
        <v>500</v>
      </c>
      <c r="I1071" s="224">
        <v>2000</v>
      </c>
      <c r="J1071" s="224"/>
      <c r="K1071" s="224"/>
    </row>
    <row r="1072" spans="1:11">
      <c r="A1072" s="23" t="s">
        <v>73</v>
      </c>
      <c r="B1072" s="23">
        <v>21</v>
      </c>
      <c r="C1072" s="23">
        <v>26</v>
      </c>
      <c r="D1072" s="224"/>
      <c r="E1072" s="224">
        <v>268246</v>
      </c>
      <c r="F1072" s="224">
        <v>31530</v>
      </c>
      <c r="G1072" s="224">
        <v>118958</v>
      </c>
      <c r="H1072" s="224">
        <v>3150</v>
      </c>
      <c r="I1072" s="224">
        <v>199000</v>
      </c>
      <c r="J1072" s="224"/>
      <c r="K1072" s="224"/>
    </row>
    <row r="1073" spans="1:11">
      <c r="A1073" s="23" t="s">
        <v>73</v>
      </c>
      <c r="B1073" s="23">
        <v>21</v>
      </c>
      <c r="C1073" s="23">
        <v>27</v>
      </c>
      <c r="D1073" s="224"/>
      <c r="E1073" s="224">
        <v>747286</v>
      </c>
      <c r="F1073" s="224">
        <v>686283</v>
      </c>
      <c r="G1073" s="224">
        <v>701783</v>
      </c>
      <c r="H1073" s="224">
        <v>4000</v>
      </c>
      <c r="I1073" s="224"/>
      <c r="J1073" s="224"/>
      <c r="K1073" s="224"/>
    </row>
    <row r="1074" spans="1:11">
      <c r="A1074" s="23" t="s">
        <v>73</v>
      </c>
      <c r="B1074" s="23">
        <v>21</v>
      </c>
      <c r="C1074" s="23">
        <v>34</v>
      </c>
      <c r="D1074" s="224"/>
      <c r="E1074" s="224">
        <v>4385</v>
      </c>
      <c r="F1074" s="224"/>
      <c r="G1074" s="224">
        <v>1026</v>
      </c>
      <c r="H1074" s="224"/>
      <c r="I1074" s="224"/>
      <c r="J1074" s="224"/>
      <c r="K1074" s="224"/>
    </row>
    <row r="1075" spans="1:11">
      <c r="A1075" s="23" t="s">
        <v>73</v>
      </c>
      <c r="B1075" s="23">
        <v>23</v>
      </c>
      <c r="C1075" s="23">
        <v>26</v>
      </c>
      <c r="D1075" s="224"/>
      <c r="E1075" s="224">
        <v>25688</v>
      </c>
      <c r="F1075" s="224"/>
      <c r="G1075" s="224">
        <v>8988</v>
      </c>
      <c r="H1075" s="224"/>
      <c r="I1075" s="224"/>
      <c r="J1075" s="224"/>
      <c r="K1075" s="224"/>
    </row>
    <row r="1076" spans="1:11">
      <c r="A1076" s="23" t="s">
        <v>73</v>
      </c>
      <c r="B1076" s="23">
        <v>23</v>
      </c>
      <c r="C1076" s="23">
        <v>27</v>
      </c>
      <c r="D1076" s="224"/>
      <c r="E1076" s="224"/>
      <c r="F1076" s="224">
        <v>10754</v>
      </c>
      <c r="G1076" s="224">
        <v>6800</v>
      </c>
      <c r="H1076" s="224"/>
      <c r="I1076" s="224"/>
      <c r="J1076" s="224"/>
      <c r="K1076" s="224"/>
    </row>
    <row r="1077" spans="1:11">
      <c r="A1077" s="23" t="s">
        <v>73</v>
      </c>
      <c r="B1077" s="23">
        <v>24</v>
      </c>
      <c r="C1077" s="23">
        <v>26</v>
      </c>
      <c r="D1077" s="224"/>
      <c r="E1077" s="224">
        <v>77063</v>
      </c>
      <c r="F1077" s="224"/>
      <c r="G1077" s="224">
        <v>26963</v>
      </c>
      <c r="H1077" s="224"/>
      <c r="I1077" s="224"/>
      <c r="J1077" s="224"/>
      <c r="K1077" s="224"/>
    </row>
    <row r="1078" spans="1:11">
      <c r="A1078" s="23" t="s">
        <v>73</v>
      </c>
      <c r="B1078" s="23">
        <v>24</v>
      </c>
      <c r="C1078" s="23">
        <v>27</v>
      </c>
      <c r="D1078" s="224"/>
      <c r="E1078" s="224">
        <v>48395</v>
      </c>
      <c r="F1078" s="224">
        <v>70665</v>
      </c>
      <c r="G1078" s="224">
        <v>68273</v>
      </c>
      <c r="H1078" s="224"/>
      <c r="I1078" s="224"/>
      <c r="J1078" s="224"/>
      <c r="K1078" s="224"/>
    </row>
    <row r="1079" spans="1:11">
      <c r="A1079" s="23" t="s">
        <v>75</v>
      </c>
      <c r="B1079" s="23">
        <v>21</v>
      </c>
      <c r="C1079" s="23">
        <v>27</v>
      </c>
      <c r="D1079" s="224"/>
      <c r="E1079" s="224">
        <v>189474</v>
      </c>
      <c r="F1079" s="224">
        <v>236660</v>
      </c>
      <c r="G1079" s="224">
        <v>258962</v>
      </c>
      <c r="H1079" s="224">
        <v>12500</v>
      </c>
      <c r="I1079" s="224">
        <v>100000</v>
      </c>
      <c r="J1079" s="224">
        <v>1000</v>
      </c>
      <c r="K1079" s="224"/>
    </row>
    <row r="1080" spans="1:11">
      <c r="A1080" s="23" t="s">
        <v>75</v>
      </c>
      <c r="B1080" s="23">
        <v>21</v>
      </c>
      <c r="C1080" s="23">
        <v>29</v>
      </c>
      <c r="D1080" s="224"/>
      <c r="E1080" s="224"/>
      <c r="F1080" s="224"/>
      <c r="G1080" s="224"/>
      <c r="H1080" s="224"/>
      <c r="I1080" s="224">
        <v>45000</v>
      </c>
      <c r="J1080" s="224"/>
      <c r="K1080" s="224"/>
    </row>
    <row r="1081" spans="1:11">
      <c r="A1081" s="23" t="s">
        <v>75</v>
      </c>
      <c r="B1081" s="23">
        <v>21</v>
      </c>
      <c r="C1081" s="23">
        <v>31</v>
      </c>
      <c r="D1081" s="224"/>
      <c r="E1081" s="224">
        <v>1882</v>
      </c>
      <c r="F1081" s="224"/>
      <c r="G1081" s="224">
        <v>864</v>
      </c>
      <c r="H1081" s="224"/>
      <c r="I1081" s="224"/>
      <c r="J1081" s="224"/>
      <c r="K1081" s="224"/>
    </row>
    <row r="1082" spans="1:11">
      <c r="A1082" s="23" t="s">
        <v>75</v>
      </c>
      <c r="B1082" s="23">
        <v>21</v>
      </c>
      <c r="C1082" s="23">
        <v>33</v>
      </c>
      <c r="D1082" s="224"/>
      <c r="E1082" s="224"/>
      <c r="F1082" s="224"/>
      <c r="G1082" s="224"/>
      <c r="H1082" s="224">
        <v>19000</v>
      </c>
      <c r="I1082" s="224"/>
      <c r="J1082" s="224"/>
      <c r="K1082" s="224"/>
    </row>
    <row r="1083" spans="1:11">
      <c r="A1083" s="23" t="s">
        <v>75</v>
      </c>
      <c r="B1083" s="23">
        <v>21</v>
      </c>
      <c r="C1083" s="23">
        <v>34</v>
      </c>
      <c r="D1083" s="224"/>
      <c r="E1083" s="224">
        <v>3763</v>
      </c>
      <c r="F1083" s="224"/>
      <c r="G1083" s="224">
        <v>1729</v>
      </c>
      <c r="H1083" s="224"/>
      <c r="I1083" s="224"/>
      <c r="J1083" s="224"/>
      <c r="K1083" s="224"/>
    </row>
    <row r="1084" spans="1:11">
      <c r="A1084" s="23" t="s">
        <v>75</v>
      </c>
      <c r="B1084" s="23">
        <v>24</v>
      </c>
      <c r="C1084" s="23">
        <v>26</v>
      </c>
      <c r="D1084" s="224"/>
      <c r="E1084" s="224"/>
      <c r="F1084" s="224"/>
      <c r="G1084" s="224"/>
      <c r="H1084" s="224"/>
      <c r="I1084" s="224">
        <v>95725</v>
      </c>
      <c r="J1084" s="224"/>
      <c r="K1084" s="224"/>
    </row>
    <row r="1085" spans="1:11">
      <c r="A1085" s="23" t="s">
        <v>75</v>
      </c>
      <c r="B1085" s="23">
        <v>24</v>
      </c>
      <c r="C1085" s="23">
        <v>27</v>
      </c>
      <c r="D1085" s="224"/>
      <c r="E1085" s="224"/>
      <c r="F1085" s="224">
        <v>2454</v>
      </c>
      <c r="G1085" s="224">
        <v>1682</v>
      </c>
      <c r="H1085" s="224"/>
      <c r="I1085" s="224"/>
      <c r="J1085" s="224"/>
      <c r="K1085" s="224"/>
    </row>
    <row r="1086" spans="1:11">
      <c r="A1086" s="23" t="s">
        <v>205</v>
      </c>
      <c r="B1086" s="23">
        <v>21</v>
      </c>
      <c r="C1086" s="23">
        <v>21</v>
      </c>
      <c r="D1086" s="224"/>
      <c r="E1086" s="224">
        <v>290850</v>
      </c>
      <c r="F1086" s="224">
        <v>25005</v>
      </c>
      <c r="G1086" s="224">
        <v>101656</v>
      </c>
      <c r="H1086" s="224"/>
      <c r="I1086" s="224">
        <v>16500</v>
      </c>
      <c r="J1086" s="224">
        <v>500</v>
      </c>
      <c r="K1086" s="224"/>
    </row>
    <row r="1087" spans="1:11">
      <c r="A1087" s="23" t="s">
        <v>205</v>
      </c>
      <c r="B1087" s="23">
        <v>21</v>
      </c>
      <c r="C1087" s="23">
        <v>24</v>
      </c>
      <c r="D1087" s="224"/>
      <c r="E1087" s="224"/>
      <c r="F1087" s="224"/>
      <c r="G1087" s="224"/>
      <c r="H1087" s="224"/>
      <c r="I1087" s="224">
        <v>12000</v>
      </c>
      <c r="J1087" s="224"/>
      <c r="K1087" s="224"/>
    </row>
    <row r="1088" spans="1:11">
      <c r="A1088" s="23" t="s">
        <v>205</v>
      </c>
      <c r="B1088" s="23">
        <v>21</v>
      </c>
      <c r="C1088" s="23">
        <v>25</v>
      </c>
      <c r="D1088" s="224"/>
      <c r="E1088" s="224"/>
      <c r="F1088" s="224">
        <v>228012</v>
      </c>
      <c r="G1088" s="224">
        <v>160515</v>
      </c>
      <c r="H1088" s="224"/>
      <c r="I1088" s="224"/>
      <c r="J1088" s="224"/>
      <c r="K1088" s="224"/>
    </row>
    <row r="1089" spans="1:11">
      <c r="A1089" s="23" t="s">
        <v>205</v>
      </c>
      <c r="B1089" s="23">
        <v>21</v>
      </c>
      <c r="C1089" s="23">
        <v>26</v>
      </c>
      <c r="D1089" s="224"/>
      <c r="E1089" s="224">
        <v>3227339</v>
      </c>
      <c r="F1089" s="224">
        <v>441094</v>
      </c>
      <c r="G1089" s="224">
        <v>1417320</v>
      </c>
      <c r="H1089" s="224"/>
      <c r="I1089" s="224">
        <v>442500</v>
      </c>
      <c r="J1089" s="224">
        <v>6700</v>
      </c>
      <c r="K1089" s="224"/>
    </row>
    <row r="1090" spans="1:11">
      <c r="A1090" s="23" t="s">
        <v>205</v>
      </c>
      <c r="B1090" s="23">
        <v>21</v>
      </c>
      <c r="C1090" s="23">
        <v>27</v>
      </c>
      <c r="D1090" s="224"/>
      <c r="E1090" s="224">
        <v>3722010</v>
      </c>
      <c r="F1090" s="224">
        <v>3550303</v>
      </c>
      <c r="G1090" s="224">
        <v>3705715</v>
      </c>
      <c r="H1090" s="224">
        <v>108249</v>
      </c>
      <c r="I1090" s="224">
        <v>96650</v>
      </c>
      <c r="J1090" s="224">
        <v>3400</v>
      </c>
      <c r="K1090" s="224"/>
    </row>
    <row r="1091" spans="1:11">
      <c r="A1091" s="23" t="s">
        <v>205</v>
      </c>
      <c r="B1091" s="23">
        <v>21</v>
      </c>
      <c r="C1091" s="23">
        <v>31</v>
      </c>
      <c r="D1091" s="224"/>
      <c r="E1091" s="224"/>
      <c r="F1091" s="224"/>
      <c r="G1091" s="224"/>
      <c r="H1091" s="224"/>
      <c r="I1091" s="224">
        <v>10500</v>
      </c>
      <c r="J1091" s="224">
        <v>1125</v>
      </c>
      <c r="K1091" s="224"/>
    </row>
    <row r="1092" spans="1:11">
      <c r="A1092" s="23" t="s">
        <v>205</v>
      </c>
      <c r="B1092" s="23">
        <v>21</v>
      </c>
      <c r="C1092" s="23">
        <v>32</v>
      </c>
      <c r="D1092" s="224"/>
      <c r="E1092" s="224"/>
      <c r="F1092" s="224"/>
      <c r="G1092" s="224"/>
      <c r="H1092" s="224"/>
      <c r="I1092" s="224">
        <v>8500</v>
      </c>
      <c r="J1092" s="224"/>
      <c r="K1092" s="224"/>
    </row>
    <row r="1093" spans="1:11">
      <c r="A1093" s="23" t="s">
        <v>205</v>
      </c>
      <c r="B1093" s="23">
        <v>24</v>
      </c>
      <c r="C1093" s="23">
        <v>27</v>
      </c>
      <c r="D1093" s="224"/>
      <c r="E1093" s="224">
        <v>1201899</v>
      </c>
      <c r="F1093" s="224">
        <v>37312</v>
      </c>
      <c r="G1093" s="224">
        <v>519676</v>
      </c>
      <c r="H1093" s="224"/>
      <c r="I1093" s="224"/>
      <c r="J1093" s="224"/>
      <c r="K1093" s="224"/>
    </row>
    <row r="1094" spans="1:11">
      <c r="A1094" s="23" t="s">
        <v>207</v>
      </c>
      <c r="B1094" s="23">
        <v>21</v>
      </c>
      <c r="C1094" s="23">
        <v>27</v>
      </c>
      <c r="D1094" s="224"/>
      <c r="E1094" s="224">
        <v>295830</v>
      </c>
      <c r="F1094" s="224">
        <v>241588</v>
      </c>
      <c r="G1094" s="224">
        <v>312106</v>
      </c>
      <c r="H1094" s="224"/>
      <c r="I1094" s="224">
        <v>39403</v>
      </c>
      <c r="J1094" s="224"/>
      <c r="K1094" s="224"/>
    </row>
    <row r="1095" spans="1:11">
      <c r="A1095" s="23" t="s">
        <v>207</v>
      </c>
      <c r="B1095" s="23">
        <v>21</v>
      </c>
      <c r="C1095" s="23">
        <v>29</v>
      </c>
      <c r="D1095" s="224"/>
      <c r="E1095" s="224"/>
      <c r="F1095" s="224"/>
      <c r="G1095" s="224"/>
      <c r="H1095" s="224"/>
      <c r="I1095" s="224">
        <v>200000</v>
      </c>
      <c r="J1095" s="224"/>
      <c r="K1095" s="224"/>
    </row>
    <row r="1096" spans="1:11">
      <c r="A1096" s="23" t="s">
        <v>207</v>
      </c>
      <c r="B1096" s="23">
        <v>21</v>
      </c>
      <c r="C1096" s="23">
        <v>34</v>
      </c>
      <c r="D1096" s="224"/>
      <c r="E1096" s="224">
        <v>1119</v>
      </c>
      <c r="F1096" s="224"/>
      <c r="G1096" s="224">
        <v>501</v>
      </c>
      <c r="H1096" s="224"/>
      <c r="I1096" s="224"/>
      <c r="J1096" s="224"/>
      <c r="K1096" s="224"/>
    </row>
    <row r="1097" spans="1:11">
      <c r="A1097" s="23" t="s">
        <v>207</v>
      </c>
      <c r="B1097" s="23">
        <v>24</v>
      </c>
      <c r="C1097" s="23">
        <v>26</v>
      </c>
      <c r="D1097" s="224"/>
      <c r="E1097" s="224"/>
      <c r="F1097" s="224"/>
      <c r="G1097" s="224"/>
      <c r="H1097" s="224"/>
      <c r="I1097" s="224">
        <v>123000</v>
      </c>
      <c r="J1097" s="224"/>
      <c r="K1097" s="224"/>
    </row>
    <row r="1098" spans="1:11">
      <c r="A1098" s="23" t="s">
        <v>209</v>
      </c>
      <c r="B1098" s="23">
        <v>21</v>
      </c>
      <c r="C1098" s="23">
        <v>21</v>
      </c>
      <c r="D1098" s="224"/>
      <c r="E1098" s="224">
        <v>135273</v>
      </c>
      <c r="F1098" s="224"/>
      <c r="G1098" s="224">
        <v>43264</v>
      </c>
      <c r="H1098" s="224">
        <v>500</v>
      </c>
      <c r="I1098" s="224"/>
      <c r="J1098" s="224"/>
      <c r="K1098" s="224"/>
    </row>
    <row r="1099" spans="1:11">
      <c r="A1099" s="23" t="s">
        <v>209</v>
      </c>
      <c r="B1099" s="23">
        <v>21</v>
      </c>
      <c r="C1099" s="23">
        <v>23</v>
      </c>
      <c r="D1099" s="224"/>
      <c r="E1099" s="224"/>
      <c r="F1099" s="224">
        <v>43235</v>
      </c>
      <c r="G1099" s="224">
        <v>21749</v>
      </c>
      <c r="H1099" s="224"/>
      <c r="I1099" s="224"/>
      <c r="J1099" s="224"/>
      <c r="K1099" s="224"/>
    </row>
    <row r="1100" spans="1:11">
      <c r="A1100" s="23" t="s">
        <v>209</v>
      </c>
      <c r="B1100" s="23">
        <v>21</v>
      </c>
      <c r="C1100" s="23">
        <v>24</v>
      </c>
      <c r="D1100" s="224"/>
      <c r="E1100" s="224"/>
      <c r="F1100" s="224"/>
      <c r="G1100" s="224"/>
      <c r="H1100" s="224">
        <v>500</v>
      </c>
      <c r="I1100" s="224"/>
      <c r="J1100" s="224"/>
      <c r="K1100" s="224"/>
    </row>
    <row r="1101" spans="1:11">
      <c r="A1101" s="23" t="s">
        <v>209</v>
      </c>
      <c r="B1101" s="23">
        <v>21</v>
      </c>
      <c r="C1101" s="23">
        <v>26</v>
      </c>
      <c r="D1101" s="224"/>
      <c r="E1101" s="224">
        <v>188204</v>
      </c>
      <c r="F1101" s="224">
        <v>267362</v>
      </c>
      <c r="G1101" s="224">
        <v>209951</v>
      </c>
      <c r="H1101" s="224">
        <v>250</v>
      </c>
      <c r="I1101" s="224">
        <v>75000</v>
      </c>
      <c r="J1101" s="224"/>
      <c r="K1101" s="224"/>
    </row>
    <row r="1102" spans="1:11">
      <c r="A1102" s="23" t="s">
        <v>209</v>
      </c>
      <c r="B1102" s="23">
        <v>21</v>
      </c>
      <c r="C1102" s="23">
        <v>27</v>
      </c>
      <c r="D1102" s="224"/>
      <c r="E1102" s="224">
        <v>338770</v>
      </c>
      <c r="F1102" s="224">
        <v>88728</v>
      </c>
      <c r="G1102" s="224">
        <v>198101</v>
      </c>
      <c r="H1102" s="224">
        <v>2250</v>
      </c>
      <c r="I1102" s="224">
        <v>50000</v>
      </c>
      <c r="J1102" s="224"/>
      <c r="K1102" s="224"/>
    </row>
    <row r="1103" spans="1:11">
      <c r="A1103" s="23" t="s">
        <v>209</v>
      </c>
      <c r="B1103" s="23">
        <v>24</v>
      </c>
      <c r="C1103" s="23">
        <v>26</v>
      </c>
      <c r="D1103" s="224"/>
      <c r="E1103" s="224"/>
      <c r="F1103" s="224"/>
      <c r="G1103" s="224"/>
      <c r="H1103" s="224">
        <v>24738</v>
      </c>
      <c r="I1103" s="224"/>
      <c r="J1103" s="224"/>
      <c r="K1103" s="224"/>
    </row>
    <row r="1104" spans="1:11">
      <c r="A1104" s="23" t="s">
        <v>209</v>
      </c>
      <c r="B1104" s="23">
        <v>24</v>
      </c>
      <c r="C1104" s="23">
        <v>27</v>
      </c>
      <c r="D1104" s="224"/>
      <c r="E1104" s="224">
        <v>99203</v>
      </c>
      <c r="F1104" s="224"/>
      <c r="G1104" s="224">
        <v>40515</v>
      </c>
      <c r="H1104" s="224">
        <v>9548</v>
      </c>
      <c r="I1104" s="224">
        <v>45000</v>
      </c>
      <c r="J1104" s="224">
        <v>3000</v>
      </c>
      <c r="K1104" s="224"/>
    </row>
    <row r="1105" spans="1:11">
      <c r="A1105" s="23" t="s">
        <v>211</v>
      </c>
      <c r="B1105" s="23">
        <v>21</v>
      </c>
      <c r="C1105" s="23">
        <v>21</v>
      </c>
      <c r="D1105" s="224"/>
      <c r="E1105" s="224">
        <v>140808</v>
      </c>
      <c r="F1105" s="224">
        <v>72597</v>
      </c>
      <c r="G1105" s="224">
        <v>73355</v>
      </c>
      <c r="H1105" s="224"/>
      <c r="I1105" s="224"/>
      <c r="J1105" s="224"/>
      <c r="K1105" s="224"/>
    </row>
    <row r="1106" spans="1:11">
      <c r="A1106" s="23" t="s">
        <v>211</v>
      </c>
      <c r="B1106" s="23">
        <v>21</v>
      </c>
      <c r="C1106" s="23">
        <v>26</v>
      </c>
      <c r="D1106" s="224"/>
      <c r="E1106" s="224">
        <v>606450</v>
      </c>
      <c r="F1106" s="224"/>
      <c r="G1106" s="224">
        <v>225191</v>
      </c>
      <c r="H1106" s="224">
        <v>5000</v>
      </c>
      <c r="I1106" s="224">
        <v>99500</v>
      </c>
      <c r="J1106" s="224"/>
      <c r="K1106" s="224"/>
    </row>
    <row r="1107" spans="1:11">
      <c r="A1107" s="23" t="s">
        <v>211</v>
      </c>
      <c r="B1107" s="23">
        <v>21</v>
      </c>
      <c r="C1107" s="23">
        <v>27</v>
      </c>
      <c r="D1107" s="224"/>
      <c r="E1107" s="224">
        <v>1075696</v>
      </c>
      <c r="F1107" s="224">
        <v>751608</v>
      </c>
      <c r="G1107" s="224">
        <v>866057</v>
      </c>
      <c r="H1107" s="224">
        <v>305500</v>
      </c>
      <c r="I1107" s="224"/>
      <c r="J1107" s="224"/>
      <c r="K1107" s="224"/>
    </row>
    <row r="1108" spans="1:11">
      <c r="A1108" s="23" t="s">
        <v>211</v>
      </c>
      <c r="B1108" s="23">
        <v>21</v>
      </c>
      <c r="C1108" s="23">
        <v>29</v>
      </c>
      <c r="D1108" s="224"/>
      <c r="E1108" s="224"/>
      <c r="F1108" s="224"/>
      <c r="G1108" s="224"/>
      <c r="H1108" s="224"/>
      <c r="I1108" s="224">
        <v>190000</v>
      </c>
      <c r="J1108" s="224"/>
      <c r="K1108" s="224"/>
    </row>
    <row r="1109" spans="1:11">
      <c r="A1109" s="23" t="s">
        <v>211</v>
      </c>
      <c r="B1109" s="23">
        <v>24</v>
      </c>
      <c r="C1109" s="23">
        <v>27</v>
      </c>
      <c r="D1109" s="224"/>
      <c r="E1109" s="224">
        <v>261989</v>
      </c>
      <c r="F1109" s="224"/>
      <c r="G1109" s="224">
        <v>117539</v>
      </c>
      <c r="H1109" s="224"/>
      <c r="I1109" s="224"/>
      <c r="J1109" s="224"/>
      <c r="K1109" s="224"/>
    </row>
    <row r="1110" spans="1:11">
      <c r="A1110" s="23" t="s">
        <v>211</v>
      </c>
      <c r="B1110" s="23">
        <v>24</v>
      </c>
      <c r="C1110" s="23">
        <v>29</v>
      </c>
      <c r="D1110" s="224"/>
      <c r="E1110" s="224"/>
      <c r="F1110" s="224"/>
      <c r="G1110" s="224"/>
      <c r="H1110" s="224"/>
      <c r="I1110" s="224">
        <v>20000</v>
      </c>
      <c r="J1110" s="224"/>
      <c r="K1110" s="224"/>
    </row>
    <row r="1111" spans="1:11">
      <c r="A1111" s="23" t="s">
        <v>87</v>
      </c>
      <c r="B1111" s="23">
        <v>21</v>
      </c>
      <c r="C1111" s="23">
        <v>27</v>
      </c>
      <c r="D1111" s="224"/>
      <c r="E1111" s="224"/>
      <c r="F1111" s="224"/>
      <c r="G1111" s="224"/>
      <c r="H1111" s="224"/>
      <c r="I1111" s="224">
        <v>52093</v>
      </c>
      <c r="J1111" s="224"/>
      <c r="K1111" s="224"/>
    </row>
    <row r="1112" spans="1:11">
      <c r="A1112" s="23" t="s">
        <v>89</v>
      </c>
      <c r="B1112" s="23">
        <v>21</v>
      </c>
      <c r="C1112" s="23">
        <v>21</v>
      </c>
      <c r="D1112" s="224"/>
      <c r="E1112" s="224">
        <v>365043</v>
      </c>
      <c r="F1112" s="224">
        <v>234439</v>
      </c>
      <c r="G1112" s="224">
        <v>204873</v>
      </c>
      <c r="H1112" s="224">
        <v>10631</v>
      </c>
      <c r="I1112" s="224">
        <v>50000</v>
      </c>
      <c r="J1112" s="224"/>
      <c r="K1112" s="224"/>
    </row>
    <row r="1113" spans="1:11">
      <c r="A1113" s="23" t="s">
        <v>89</v>
      </c>
      <c r="B1113" s="23">
        <v>21</v>
      </c>
      <c r="C1113" s="23">
        <v>26</v>
      </c>
      <c r="D1113" s="224"/>
      <c r="E1113" s="224">
        <v>1406839</v>
      </c>
      <c r="F1113" s="224">
        <v>95819</v>
      </c>
      <c r="G1113" s="224">
        <v>522740</v>
      </c>
      <c r="H1113" s="224">
        <v>6000</v>
      </c>
      <c r="I1113" s="224">
        <v>62150</v>
      </c>
      <c r="J1113" s="224">
        <v>5000</v>
      </c>
      <c r="K1113" s="224"/>
    </row>
    <row r="1114" spans="1:11">
      <c r="A1114" s="23" t="s">
        <v>89</v>
      </c>
      <c r="B1114" s="23">
        <v>21</v>
      </c>
      <c r="C1114" s="23">
        <v>27</v>
      </c>
      <c r="D1114" s="224"/>
      <c r="E1114" s="224">
        <v>4223364</v>
      </c>
      <c r="F1114" s="224">
        <v>4165559</v>
      </c>
      <c r="G1114" s="224">
        <v>4002337</v>
      </c>
      <c r="H1114" s="224">
        <v>61869</v>
      </c>
      <c r="I1114" s="224">
        <v>2016000</v>
      </c>
      <c r="J1114" s="224">
        <v>1000</v>
      </c>
      <c r="K1114" s="224"/>
    </row>
    <row r="1115" spans="1:11">
      <c r="A1115" s="23" t="s">
        <v>89</v>
      </c>
      <c r="B1115" s="23">
        <v>21</v>
      </c>
      <c r="C1115" s="23">
        <v>31</v>
      </c>
      <c r="D1115" s="224"/>
      <c r="E1115" s="224">
        <v>133320</v>
      </c>
      <c r="F1115" s="224"/>
      <c r="G1115" s="224">
        <v>30228</v>
      </c>
      <c r="H1115" s="224"/>
      <c r="I1115" s="224">
        <v>500</v>
      </c>
      <c r="J1115" s="224"/>
      <c r="K1115" s="224"/>
    </row>
    <row r="1116" spans="1:11">
      <c r="A1116" s="23" t="s">
        <v>89</v>
      </c>
      <c r="B1116" s="23">
        <v>21</v>
      </c>
      <c r="C1116" s="23">
        <v>32</v>
      </c>
      <c r="D1116" s="224"/>
      <c r="E1116" s="224"/>
      <c r="F1116" s="224"/>
      <c r="G1116" s="224"/>
      <c r="H1116" s="224">
        <v>1000</v>
      </c>
      <c r="I1116" s="224">
        <v>1000</v>
      </c>
      <c r="J1116" s="224"/>
      <c r="K1116" s="224"/>
    </row>
    <row r="1117" spans="1:11">
      <c r="A1117" s="23" t="s">
        <v>89</v>
      </c>
      <c r="B1117" s="23">
        <v>23</v>
      </c>
      <c r="C1117" s="23">
        <v>27</v>
      </c>
      <c r="D1117" s="224"/>
      <c r="E1117" s="224"/>
      <c r="F1117" s="224">
        <v>250000</v>
      </c>
      <c r="G1117" s="224">
        <v>21035</v>
      </c>
      <c r="H1117" s="224">
        <v>30000</v>
      </c>
      <c r="I1117" s="224">
        <v>59365</v>
      </c>
      <c r="J1117" s="224"/>
      <c r="K1117" s="224"/>
    </row>
    <row r="1118" spans="1:11">
      <c r="A1118" s="23" t="s">
        <v>89</v>
      </c>
      <c r="B1118" s="23">
        <v>24</v>
      </c>
      <c r="C1118" s="23">
        <v>26</v>
      </c>
      <c r="D1118" s="224"/>
      <c r="E1118" s="224">
        <v>526672</v>
      </c>
      <c r="F1118" s="224"/>
      <c r="G1118" s="224">
        <v>187154</v>
      </c>
      <c r="H1118" s="224"/>
      <c r="I1118" s="224">
        <v>387760</v>
      </c>
      <c r="J1118" s="224"/>
      <c r="K1118" s="224"/>
    </row>
    <row r="1119" spans="1:11">
      <c r="A1119" s="23" t="s">
        <v>89</v>
      </c>
      <c r="B1119" s="23">
        <v>24</v>
      </c>
      <c r="C1119" s="23">
        <v>27</v>
      </c>
      <c r="D1119" s="224"/>
      <c r="E1119" s="224"/>
      <c r="F1119" s="224"/>
      <c r="G1119" s="224"/>
      <c r="H1119" s="224"/>
      <c r="I1119" s="224">
        <v>258736</v>
      </c>
      <c r="J1119" s="224"/>
      <c r="K1119" s="224"/>
    </row>
    <row r="1120" spans="1:11">
      <c r="A1120" s="23" t="s">
        <v>90</v>
      </c>
      <c r="B1120" s="23">
        <v>21</v>
      </c>
      <c r="C1120" s="23">
        <v>21</v>
      </c>
      <c r="D1120" s="224"/>
      <c r="E1120" s="224">
        <v>615884</v>
      </c>
      <c r="F1120" s="224">
        <v>259132</v>
      </c>
      <c r="G1120" s="224">
        <v>281415</v>
      </c>
      <c r="H1120" s="224">
        <v>8500</v>
      </c>
      <c r="I1120" s="224">
        <v>7600</v>
      </c>
      <c r="J1120" s="224">
        <v>3000</v>
      </c>
      <c r="K1120" s="224"/>
    </row>
    <row r="1121" spans="1:11">
      <c r="A1121" s="23" t="s">
        <v>90</v>
      </c>
      <c r="B1121" s="23">
        <v>21</v>
      </c>
      <c r="C1121" s="23">
        <v>26</v>
      </c>
      <c r="D1121" s="224"/>
      <c r="E1121" s="224">
        <v>8304027</v>
      </c>
      <c r="F1121" s="224">
        <v>163037</v>
      </c>
      <c r="G1121" s="224">
        <v>2863234</v>
      </c>
      <c r="H1121" s="224">
        <v>70500</v>
      </c>
      <c r="I1121" s="224">
        <v>22400</v>
      </c>
      <c r="J1121" s="224">
        <v>5000</v>
      </c>
      <c r="K1121" s="224">
        <v>5800</v>
      </c>
    </row>
    <row r="1122" spans="1:11">
      <c r="A1122" s="23" t="s">
        <v>90</v>
      </c>
      <c r="B1122" s="23">
        <v>21</v>
      </c>
      <c r="C1122" s="23">
        <v>27</v>
      </c>
      <c r="D1122" s="224"/>
      <c r="E1122" s="224">
        <v>11174738</v>
      </c>
      <c r="F1122" s="224">
        <v>9964431</v>
      </c>
      <c r="G1122" s="224">
        <v>8239225</v>
      </c>
      <c r="H1122" s="224">
        <v>125500</v>
      </c>
      <c r="I1122" s="224">
        <v>498100</v>
      </c>
      <c r="J1122" s="224">
        <v>1300</v>
      </c>
      <c r="K1122" s="224"/>
    </row>
    <row r="1123" spans="1:11">
      <c r="A1123" s="23" t="s">
        <v>90</v>
      </c>
      <c r="B1123" s="23">
        <v>21</v>
      </c>
      <c r="C1123" s="23">
        <v>29</v>
      </c>
      <c r="D1123" s="224"/>
      <c r="E1123" s="224"/>
      <c r="F1123" s="224"/>
      <c r="G1123" s="224"/>
      <c r="H1123" s="224"/>
      <c r="I1123" s="224">
        <v>50000</v>
      </c>
      <c r="J1123" s="224"/>
      <c r="K1123" s="224"/>
    </row>
    <row r="1124" spans="1:11">
      <c r="A1124" s="23" t="s">
        <v>90</v>
      </c>
      <c r="B1124" s="23">
        <v>21</v>
      </c>
      <c r="C1124" s="23">
        <v>31</v>
      </c>
      <c r="D1124" s="224"/>
      <c r="E1124" s="224">
        <v>142601</v>
      </c>
      <c r="F1124" s="224"/>
      <c r="G1124" s="224">
        <v>45419</v>
      </c>
      <c r="H1124" s="224"/>
      <c r="I1124" s="224"/>
      <c r="J1124" s="224"/>
      <c r="K1124" s="224"/>
    </row>
    <row r="1125" spans="1:11">
      <c r="A1125" s="23" t="s">
        <v>90</v>
      </c>
      <c r="B1125" s="23">
        <v>21</v>
      </c>
      <c r="C1125" s="23">
        <v>34</v>
      </c>
      <c r="D1125" s="224"/>
      <c r="E1125" s="224">
        <v>272923</v>
      </c>
      <c r="F1125" s="224"/>
      <c r="G1125" s="224">
        <v>64078</v>
      </c>
      <c r="H1125" s="224"/>
      <c r="I1125" s="224"/>
      <c r="J1125" s="224"/>
      <c r="K1125" s="224"/>
    </row>
    <row r="1126" spans="1:11">
      <c r="A1126" s="23" t="s">
        <v>90</v>
      </c>
      <c r="B1126" s="23">
        <v>24</v>
      </c>
      <c r="C1126" s="23">
        <v>21</v>
      </c>
      <c r="D1126" s="224"/>
      <c r="E1126" s="224">
        <v>104548</v>
      </c>
      <c r="F1126" s="224"/>
      <c r="G1126" s="224">
        <v>31002</v>
      </c>
      <c r="H1126" s="224">
        <v>3488</v>
      </c>
      <c r="I1126" s="224"/>
      <c r="J1126" s="224"/>
      <c r="K1126" s="224"/>
    </row>
    <row r="1127" spans="1:11">
      <c r="A1127" s="23" t="s">
        <v>90</v>
      </c>
      <c r="B1127" s="23">
        <v>24</v>
      </c>
      <c r="C1127" s="23">
        <v>26</v>
      </c>
      <c r="D1127" s="224"/>
      <c r="E1127" s="224">
        <v>1419868</v>
      </c>
      <c r="F1127" s="224"/>
      <c r="G1127" s="224">
        <v>467046</v>
      </c>
      <c r="H1127" s="224"/>
      <c r="I1127" s="224"/>
      <c r="J1127" s="224"/>
      <c r="K1127" s="224"/>
    </row>
    <row r="1128" spans="1:11">
      <c r="A1128" s="23" t="s">
        <v>90</v>
      </c>
      <c r="B1128" s="23">
        <v>24</v>
      </c>
      <c r="C1128" s="23">
        <v>27</v>
      </c>
      <c r="D1128" s="224"/>
      <c r="E1128" s="224">
        <v>893639</v>
      </c>
      <c r="F1128" s="224"/>
      <c r="G1128" s="224">
        <v>289249</v>
      </c>
      <c r="H1128" s="224">
        <v>78</v>
      </c>
      <c r="I1128" s="224"/>
      <c r="J1128" s="224"/>
      <c r="K1128" s="224"/>
    </row>
    <row r="1129" spans="1:11">
      <c r="A1129" s="23" t="s">
        <v>92</v>
      </c>
      <c r="B1129" s="23">
        <v>21</v>
      </c>
      <c r="C1129" s="23">
        <v>21</v>
      </c>
      <c r="D1129" s="224"/>
      <c r="E1129" s="224">
        <v>111928</v>
      </c>
      <c r="F1129" s="224">
        <v>30356</v>
      </c>
      <c r="G1129" s="224">
        <v>49868</v>
      </c>
      <c r="H1129" s="224">
        <v>1000</v>
      </c>
      <c r="I1129" s="224">
        <v>2900</v>
      </c>
      <c r="J1129" s="224"/>
      <c r="K1129" s="224"/>
    </row>
    <row r="1130" spans="1:11">
      <c r="A1130" s="23" t="s">
        <v>92</v>
      </c>
      <c r="B1130" s="23">
        <v>21</v>
      </c>
      <c r="C1130" s="23">
        <v>25</v>
      </c>
      <c r="D1130" s="224"/>
      <c r="E1130" s="224"/>
      <c r="F1130" s="224">
        <v>6573</v>
      </c>
      <c r="G1130" s="224">
        <v>4351</v>
      </c>
      <c r="H1130" s="224"/>
      <c r="I1130" s="224">
        <v>5000</v>
      </c>
      <c r="J1130" s="224"/>
      <c r="K1130" s="224"/>
    </row>
    <row r="1131" spans="1:11">
      <c r="A1131" s="23" t="s">
        <v>92</v>
      </c>
      <c r="B1131" s="23">
        <v>21</v>
      </c>
      <c r="C1131" s="23">
        <v>26</v>
      </c>
      <c r="D1131" s="224"/>
      <c r="E1131" s="224">
        <v>291692</v>
      </c>
      <c r="F1131" s="224">
        <v>39834</v>
      </c>
      <c r="G1131" s="224">
        <v>128066</v>
      </c>
      <c r="H1131" s="224">
        <v>350</v>
      </c>
      <c r="I1131" s="224"/>
      <c r="J1131" s="224"/>
      <c r="K1131" s="224"/>
    </row>
    <row r="1132" spans="1:11">
      <c r="A1132" s="23" t="s">
        <v>92</v>
      </c>
      <c r="B1132" s="23">
        <v>21</v>
      </c>
      <c r="C1132" s="23">
        <v>27</v>
      </c>
      <c r="D1132" s="224"/>
      <c r="E1132" s="224">
        <v>532730</v>
      </c>
      <c r="F1132" s="224">
        <v>89731</v>
      </c>
      <c r="G1132" s="224">
        <v>267737</v>
      </c>
      <c r="H1132" s="224">
        <v>3000</v>
      </c>
      <c r="I1132" s="224">
        <v>102500</v>
      </c>
      <c r="J1132" s="224"/>
      <c r="K1132" s="224"/>
    </row>
    <row r="1133" spans="1:11">
      <c r="A1133" s="23" t="s">
        <v>92</v>
      </c>
      <c r="B1133" s="23">
        <v>21</v>
      </c>
      <c r="C1133" s="23">
        <v>29</v>
      </c>
      <c r="D1133" s="224"/>
      <c r="E1133" s="224"/>
      <c r="F1133" s="224"/>
      <c r="G1133" s="224"/>
      <c r="H1133" s="224"/>
      <c r="I1133" s="224">
        <v>75000</v>
      </c>
      <c r="J1133" s="224"/>
      <c r="K1133" s="224"/>
    </row>
    <row r="1134" spans="1:11">
      <c r="A1134" s="23" t="s">
        <v>92</v>
      </c>
      <c r="B1134" s="23">
        <v>21</v>
      </c>
      <c r="C1134" s="23">
        <v>31</v>
      </c>
      <c r="D1134" s="224"/>
      <c r="E1134" s="224">
        <v>6323</v>
      </c>
      <c r="F1134" s="224">
        <v>2022</v>
      </c>
      <c r="G1134" s="224">
        <v>1729</v>
      </c>
      <c r="H1134" s="224"/>
      <c r="I1134" s="224">
        <v>2000</v>
      </c>
      <c r="J1134" s="224"/>
      <c r="K1134" s="224"/>
    </row>
    <row r="1135" spans="1:11">
      <c r="A1135" s="23" t="s">
        <v>92</v>
      </c>
      <c r="B1135" s="23">
        <v>21</v>
      </c>
      <c r="C1135" s="23">
        <v>34</v>
      </c>
      <c r="D1135" s="224"/>
      <c r="E1135" s="224">
        <v>12250</v>
      </c>
      <c r="F1135" s="224"/>
      <c r="G1135" s="224">
        <v>2876</v>
      </c>
      <c r="H1135" s="224"/>
      <c r="I1135" s="224"/>
      <c r="J1135" s="224"/>
      <c r="K1135" s="224"/>
    </row>
    <row r="1136" spans="1:11">
      <c r="A1136" s="23" t="s">
        <v>92</v>
      </c>
      <c r="B1136" s="23">
        <v>24</v>
      </c>
      <c r="C1136" s="23">
        <v>25</v>
      </c>
      <c r="D1136" s="224"/>
      <c r="E1136" s="224"/>
      <c r="F1136" s="224">
        <v>3415</v>
      </c>
      <c r="G1136" s="224">
        <v>2203</v>
      </c>
      <c r="H1136" s="224"/>
      <c r="I1136" s="224"/>
      <c r="J1136" s="224"/>
      <c r="K1136" s="224"/>
    </row>
    <row r="1137" spans="1:11">
      <c r="A1137" s="23" t="s">
        <v>92</v>
      </c>
      <c r="B1137" s="23">
        <v>24</v>
      </c>
      <c r="C1137" s="23">
        <v>27</v>
      </c>
      <c r="D1137" s="224"/>
      <c r="E1137" s="224">
        <v>2316</v>
      </c>
      <c r="F1137" s="224">
        <v>221523</v>
      </c>
      <c r="G1137" s="224">
        <v>132021</v>
      </c>
      <c r="H1137" s="224"/>
      <c r="I1137" s="224"/>
      <c r="J1137" s="224"/>
      <c r="K1137" s="224"/>
    </row>
    <row r="1138" spans="1:11">
      <c r="A1138" s="23" t="s">
        <v>94</v>
      </c>
      <c r="B1138" s="23">
        <v>21</v>
      </c>
      <c r="C1138" s="23">
        <v>25</v>
      </c>
      <c r="D1138" s="224"/>
      <c r="E1138" s="224"/>
      <c r="F1138" s="224">
        <v>19562</v>
      </c>
      <c r="G1138" s="224">
        <v>15406</v>
      </c>
      <c r="H1138" s="224"/>
      <c r="I1138" s="224"/>
      <c r="J1138" s="224"/>
      <c r="K1138" s="224"/>
    </row>
    <row r="1139" spans="1:11">
      <c r="A1139" s="23" t="s">
        <v>94</v>
      </c>
      <c r="B1139" s="23">
        <v>21</v>
      </c>
      <c r="C1139" s="23">
        <v>26</v>
      </c>
      <c r="D1139" s="224"/>
      <c r="E1139" s="224"/>
      <c r="F1139" s="224">
        <v>6718</v>
      </c>
      <c r="G1139" s="224">
        <v>3733</v>
      </c>
      <c r="H1139" s="224"/>
      <c r="I1139" s="224">
        <v>170000</v>
      </c>
      <c r="J1139" s="224"/>
      <c r="K1139" s="224"/>
    </row>
    <row r="1140" spans="1:11">
      <c r="A1140" s="23" t="s">
        <v>94</v>
      </c>
      <c r="B1140" s="23">
        <v>21</v>
      </c>
      <c r="C1140" s="23">
        <v>27</v>
      </c>
      <c r="D1140" s="224"/>
      <c r="E1140" s="224">
        <v>243156</v>
      </c>
      <c r="F1140" s="224">
        <v>191412</v>
      </c>
      <c r="G1140" s="224">
        <v>216757</v>
      </c>
      <c r="H1140" s="224">
        <v>3750</v>
      </c>
      <c r="I1140" s="224">
        <v>180000</v>
      </c>
      <c r="J1140" s="224"/>
      <c r="K1140" s="224"/>
    </row>
    <row r="1141" spans="1:11">
      <c r="A1141" s="23" t="s">
        <v>94</v>
      </c>
      <c r="B1141" s="23">
        <v>21</v>
      </c>
      <c r="C1141" s="23">
        <v>29</v>
      </c>
      <c r="D1141" s="224"/>
      <c r="E1141" s="224"/>
      <c r="F1141" s="224"/>
      <c r="G1141" s="224"/>
      <c r="H1141" s="224"/>
      <c r="I1141" s="224">
        <v>411434</v>
      </c>
      <c r="J1141" s="224"/>
      <c r="K1141" s="224"/>
    </row>
    <row r="1142" spans="1:11">
      <c r="A1142" s="23" t="s">
        <v>94</v>
      </c>
      <c r="B1142" s="23">
        <v>21</v>
      </c>
      <c r="C1142" s="23">
        <v>34</v>
      </c>
      <c r="D1142" s="224"/>
      <c r="E1142" s="224">
        <v>3474</v>
      </c>
      <c r="F1142" s="224"/>
      <c r="G1142" s="224">
        <v>817</v>
      </c>
      <c r="H1142" s="224"/>
      <c r="I1142" s="224"/>
      <c r="J1142" s="224"/>
      <c r="K1142" s="224"/>
    </row>
    <row r="1143" spans="1:11">
      <c r="A1143" s="23" t="s">
        <v>94</v>
      </c>
      <c r="B1143" s="23">
        <v>23</v>
      </c>
      <c r="C1143" s="23">
        <v>27</v>
      </c>
      <c r="D1143" s="224"/>
      <c r="E1143" s="224"/>
      <c r="F1143" s="224"/>
      <c r="G1143" s="224"/>
      <c r="H1143" s="224">
        <v>30850</v>
      </c>
      <c r="I1143" s="224"/>
      <c r="J1143" s="224"/>
      <c r="K1143" s="224"/>
    </row>
    <row r="1144" spans="1:11">
      <c r="A1144" s="23" t="s">
        <v>94</v>
      </c>
      <c r="B1144" s="23">
        <v>24</v>
      </c>
      <c r="C1144" s="23">
        <v>26</v>
      </c>
      <c r="D1144" s="224"/>
      <c r="E1144" s="224"/>
      <c r="F1144" s="224"/>
      <c r="G1144" s="224"/>
      <c r="H1144" s="224"/>
      <c r="I1144" s="224">
        <v>156914</v>
      </c>
      <c r="J1144" s="224"/>
      <c r="K1144" s="224"/>
    </row>
    <row r="1145" spans="1:11">
      <c r="A1145" s="23" t="s">
        <v>94</v>
      </c>
      <c r="B1145" s="23">
        <v>24</v>
      </c>
      <c r="C1145" s="23">
        <v>27</v>
      </c>
      <c r="D1145" s="224"/>
      <c r="E1145" s="224"/>
      <c r="F1145" s="224">
        <v>4632</v>
      </c>
      <c r="G1145" s="224">
        <v>3549</v>
      </c>
      <c r="H1145" s="224"/>
      <c r="I1145" s="224"/>
      <c r="J1145" s="224"/>
      <c r="K1145" s="224"/>
    </row>
    <row r="1146" spans="1:11">
      <c r="A1146" s="23" t="s">
        <v>94</v>
      </c>
      <c r="B1146" s="23">
        <v>24</v>
      </c>
      <c r="C1146" s="23">
        <v>32</v>
      </c>
      <c r="D1146" s="224"/>
      <c r="E1146" s="224"/>
      <c r="F1146" s="224"/>
      <c r="G1146" s="224"/>
      <c r="H1146" s="224">
        <v>2100</v>
      </c>
      <c r="I1146" s="224"/>
      <c r="J1146" s="224"/>
      <c r="K1146" s="224"/>
    </row>
    <row r="1147" spans="1:11">
      <c r="A1147" s="23" t="s">
        <v>96</v>
      </c>
      <c r="B1147" s="23">
        <v>21</v>
      </c>
      <c r="C1147" s="23">
        <v>27</v>
      </c>
      <c r="D1147" s="224"/>
      <c r="E1147" s="224"/>
      <c r="F1147" s="224"/>
      <c r="G1147" s="224"/>
      <c r="H1147" s="224"/>
      <c r="I1147" s="224">
        <v>408260</v>
      </c>
      <c r="J1147" s="224"/>
      <c r="K1147" s="224"/>
    </row>
    <row r="1148" spans="1:11">
      <c r="A1148" s="23" t="s">
        <v>97</v>
      </c>
      <c r="B1148" s="23">
        <v>21</v>
      </c>
      <c r="C1148" s="23">
        <v>21</v>
      </c>
      <c r="D1148" s="224"/>
      <c r="E1148" s="224">
        <v>21809</v>
      </c>
      <c r="F1148" s="224"/>
      <c r="G1148" s="224">
        <v>6857</v>
      </c>
      <c r="H1148" s="224"/>
      <c r="I1148" s="224"/>
      <c r="J1148" s="224"/>
      <c r="K1148" s="224"/>
    </row>
    <row r="1149" spans="1:11">
      <c r="A1149" s="23" t="s">
        <v>97</v>
      </c>
      <c r="B1149" s="23">
        <v>21</v>
      </c>
      <c r="C1149" s="23">
        <v>26</v>
      </c>
      <c r="D1149" s="224"/>
      <c r="E1149" s="224"/>
      <c r="F1149" s="224"/>
      <c r="G1149" s="224"/>
      <c r="H1149" s="224"/>
      <c r="I1149" s="224">
        <v>106554</v>
      </c>
      <c r="J1149" s="224"/>
      <c r="K1149" s="224"/>
    </row>
    <row r="1150" spans="1:11">
      <c r="A1150" s="23" t="s">
        <v>97</v>
      </c>
      <c r="B1150" s="23">
        <v>21</v>
      </c>
      <c r="C1150" s="23">
        <v>27</v>
      </c>
      <c r="D1150" s="224"/>
      <c r="E1150" s="224">
        <v>45455</v>
      </c>
      <c r="F1150" s="224"/>
      <c r="G1150" s="224">
        <v>23041</v>
      </c>
      <c r="H1150" s="224"/>
      <c r="I1150" s="224"/>
      <c r="J1150" s="224"/>
      <c r="K1150" s="224"/>
    </row>
    <row r="1151" spans="1:11">
      <c r="A1151" s="23" t="s">
        <v>97</v>
      </c>
      <c r="B1151" s="23">
        <v>24</v>
      </c>
      <c r="C1151" s="23">
        <v>26</v>
      </c>
      <c r="D1151" s="224"/>
      <c r="E1151" s="224"/>
      <c r="F1151" s="224"/>
      <c r="G1151" s="224"/>
      <c r="H1151" s="224"/>
      <c r="I1151" s="224">
        <v>56671</v>
      </c>
      <c r="J1151" s="224"/>
      <c r="K1151" s="224"/>
    </row>
    <row r="1152" spans="1:11">
      <c r="A1152" s="23" t="s">
        <v>97</v>
      </c>
      <c r="B1152" s="23">
        <v>24</v>
      </c>
      <c r="C1152" s="23">
        <v>27</v>
      </c>
      <c r="D1152" s="224"/>
      <c r="E1152" s="224"/>
      <c r="F1152" s="224">
        <v>3647</v>
      </c>
      <c r="G1152" s="224">
        <v>1993</v>
      </c>
      <c r="H1152" s="224"/>
      <c r="I1152" s="224"/>
      <c r="J1152" s="224"/>
      <c r="K1152" s="224"/>
    </row>
    <row r="1153" spans="1:11">
      <c r="A1153" s="23" t="s">
        <v>97</v>
      </c>
      <c r="B1153" s="23">
        <v>29</v>
      </c>
      <c r="C1153" s="23">
        <v>26</v>
      </c>
      <c r="D1153" s="224"/>
      <c r="E1153" s="224"/>
      <c r="F1153" s="224"/>
      <c r="G1153" s="224"/>
      <c r="H1153" s="224"/>
      <c r="I1153" s="224">
        <v>31296</v>
      </c>
      <c r="J1153" s="224"/>
      <c r="K1153" s="224"/>
    </row>
    <row r="1154" spans="1:11">
      <c r="A1154" s="23" t="s">
        <v>97</v>
      </c>
      <c r="B1154" s="23">
        <v>29</v>
      </c>
      <c r="C1154" s="23">
        <v>29</v>
      </c>
      <c r="D1154" s="224"/>
      <c r="E1154" s="224"/>
      <c r="F1154" s="224"/>
      <c r="G1154" s="224"/>
      <c r="H1154" s="224"/>
      <c r="I1154" s="224">
        <v>26000</v>
      </c>
      <c r="J1154" s="224"/>
      <c r="K1154" s="224"/>
    </row>
    <row r="1155" spans="1:11">
      <c r="A1155" s="23" t="s">
        <v>99</v>
      </c>
      <c r="B1155" s="23">
        <v>21</v>
      </c>
      <c r="C1155" s="23">
        <v>21</v>
      </c>
      <c r="D1155" s="224"/>
      <c r="E1155" s="224">
        <v>17500</v>
      </c>
      <c r="F1155" s="224">
        <v>31478</v>
      </c>
      <c r="G1155" s="224">
        <v>20152</v>
      </c>
      <c r="H1155" s="224"/>
      <c r="I1155" s="224"/>
      <c r="J1155" s="224"/>
      <c r="K1155" s="224"/>
    </row>
    <row r="1156" spans="1:11">
      <c r="A1156" s="23" t="s">
        <v>99</v>
      </c>
      <c r="B1156" s="23">
        <v>21</v>
      </c>
      <c r="C1156" s="23">
        <v>26</v>
      </c>
      <c r="D1156" s="224"/>
      <c r="E1156" s="224">
        <v>273275</v>
      </c>
      <c r="F1156" s="224">
        <v>27087</v>
      </c>
      <c r="G1156" s="224">
        <v>115703</v>
      </c>
      <c r="H1156" s="224"/>
      <c r="I1156" s="224">
        <v>95905</v>
      </c>
      <c r="J1156" s="224"/>
      <c r="K1156" s="224"/>
    </row>
    <row r="1157" spans="1:11">
      <c r="A1157" s="23" t="s">
        <v>99</v>
      </c>
      <c r="B1157" s="23">
        <v>21</v>
      </c>
      <c r="C1157" s="23">
        <v>27</v>
      </c>
      <c r="D1157" s="224"/>
      <c r="E1157" s="224">
        <v>593455</v>
      </c>
      <c r="F1157" s="224">
        <v>303655</v>
      </c>
      <c r="G1157" s="224">
        <v>446233</v>
      </c>
      <c r="H1157" s="224">
        <v>3750</v>
      </c>
      <c r="I1157" s="224">
        <v>12500</v>
      </c>
      <c r="J1157" s="224">
        <v>1000</v>
      </c>
      <c r="K1157" s="224"/>
    </row>
    <row r="1158" spans="1:11">
      <c r="A1158" s="23" t="s">
        <v>99</v>
      </c>
      <c r="B1158" s="23">
        <v>24</v>
      </c>
      <c r="C1158" s="23">
        <v>27</v>
      </c>
      <c r="D1158" s="224"/>
      <c r="E1158" s="224">
        <v>1500</v>
      </c>
      <c r="F1158" s="224">
        <v>161915</v>
      </c>
      <c r="G1158" s="224">
        <v>107321</v>
      </c>
      <c r="H1158" s="224">
        <v>9837</v>
      </c>
      <c r="I1158" s="224">
        <v>500</v>
      </c>
      <c r="J1158" s="224">
        <v>500</v>
      </c>
      <c r="K1158" s="224"/>
    </row>
    <row r="1159" spans="1:11">
      <c r="A1159" s="23" t="s">
        <v>99</v>
      </c>
      <c r="B1159" s="23">
        <v>24</v>
      </c>
      <c r="C1159" s="23">
        <v>31</v>
      </c>
      <c r="D1159" s="224"/>
      <c r="E1159" s="224"/>
      <c r="F1159" s="224">
        <v>2958</v>
      </c>
      <c r="G1159" s="224">
        <v>361</v>
      </c>
      <c r="H1159" s="224"/>
      <c r="I1159" s="224"/>
      <c r="J1159" s="224">
        <v>250</v>
      </c>
      <c r="K1159" s="224"/>
    </row>
    <row r="1160" spans="1:11">
      <c r="A1160" s="23" t="s">
        <v>101</v>
      </c>
      <c r="B1160" s="23">
        <v>21</v>
      </c>
      <c r="C1160" s="23">
        <v>21</v>
      </c>
      <c r="D1160" s="224"/>
      <c r="E1160" s="224">
        <v>116662</v>
      </c>
      <c r="F1160" s="224">
        <v>26650</v>
      </c>
      <c r="G1160" s="224">
        <v>50094</v>
      </c>
      <c r="H1160" s="224"/>
      <c r="I1160" s="224"/>
      <c r="J1160" s="224"/>
      <c r="K1160" s="224"/>
    </row>
    <row r="1161" spans="1:11">
      <c r="A1161" s="23" t="s">
        <v>101</v>
      </c>
      <c r="B1161" s="23">
        <v>21</v>
      </c>
      <c r="C1161" s="23">
        <v>26</v>
      </c>
      <c r="D1161" s="224"/>
      <c r="E1161" s="224">
        <v>151683</v>
      </c>
      <c r="F1161" s="224">
        <v>44313</v>
      </c>
      <c r="G1161" s="224">
        <v>93716</v>
      </c>
      <c r="H1161" s="224">
        <v>5000</v>
      </c>
      <c r="I1161" s="224">
        <v>130000</v>
      </c>
      <c r="J1161" s="224">
        <v>2000</v>
      </c>
      <c r="K1161" s="224"/>
    </row>
    <row r="1162" spans="1:11">
      <c r="A1162" s="23" t="s">
        <v>101</v>
      </c>
      <c r="B1162" s="23">
        <v>21</v>
      </c>
      <c r="C1162" s="23">
        <v>27</v>
      </c>
      <c r="D1162" s="224"/>
      <c r="E1162" s="224">
        <v>662015</v>
      </c>
      <c r="F1162" s="224">
        <v>311684</v>
      </c>
      <c r="G1162" s="224">
        <v>450076</v>
      </c>
      <c r="H1162" s="224">
        <v>63804</v>
      </c>
      <c r="I1162" s="224">
        <v>37800</v>
      </c>
      <c r="J1162" s="224">
        <v>4000</v>
      </c>
      <c r="K1162" s="224"/>
    </row>
    <row r="1163" spans="1:11">
      <c r="A1163" s="23" t="s">
        <v>101</v>
      </c>
      <c r="B1163" s="23">
        <v>21</v>
      </c>
      <c r="C1163" s="23">
        <v>31</v>
      </c>
      <c r="D1163" s="224"/>
      <c r="E1163" s="224"/>
      <c r="F1163" s="224">
        <v>3088</v>
      </c>
      <c r="G1163" s="224">
        <v>647</v>
      </c>
      <c r="H1163" s="224"/>
      <c r="I1163" s="224">
        <v>3000</v>
      </c>
      <c r="J1163" s="224"/>
      <c r="K1163" s="224"/>
    </row>
    <row r="1164" spans="1:11">
      <c r="A1164" s="23" t="s">
        <v>101</v>
      </c>
      <c r="B1164" s="23">
        <v>21</v>
      </c>
      <c r="C1164" s="23">
        <v>32</v>
      </c>
      <c r="D1164" s="224"/>
      <c r="E1164" s="224"/>
      <c r="F1164" s="224"/>
      <c r="G1164" s="224"/>
      <c r="H1164" s="224">
        <v>500</v>
      </c>
      <c r="I1164" s="224"/>
      <c r="J1164" s="224"/>
      <c r="K1164" s="224"/>
    </row>
    <row r="1165" spans="1:11">
      <c r="A1165" s="23" t="s">
        <v>101</v>
      </c>
      <c r="B1165" s="23">
        <v>21</v>
      </c>
      <c r="C1165" s="23">
        <v>33</v>
      </c>
      <c r="D1165" s="224"/>
      <c r="E1165" s="224"/>
      <c r="F1165" s="224"/>
      <c r="G1165" s="224"/>
      <c r="H1165" s="224"/>
      <c r="I1165" s="224">
        <v>1000</v>
      </c>
      <c r="J1165" s="224"/>
      <c r="K1165" s="224"/>
    </row>
    <row r="1166" spans="1:11">
      <c r="A1166" s="23" t="s">
        <v>101</v>
      </c>
      <c r="B1166" s="23">
        <v>24</v>
      </c>
      <c r="C1166" s="23">
        <v>26</v>
      </c>
      <c r="D1166" s="224"/>
      <c r="E1166" s="224">
        <v>153410</v>
      </c>
      <c r="F1166" s="224"/>
      <c r="G1166" s="224">
        <v>60235</v>
      </c>
      <c r="H1166" s="224"/>
      <c r="I1166" s="224"/>
      <c r="J1166" s="224"/>
      <c r="K1166" s="224"/>
    </row>
    <row r="1167" spans="1:11">
      <c r="A1167" s="23" t="s">
        <v>101</v>
      </c>
      <c r="B1167" s="23">
        <v>24</v>
      </c>
      <c r="C1167" s="23">
        <v>27</v>
      </c>
      <c r="D1167" s="224"/>
      <c r="E1167" s="224">
        <v>68106</v>
      </c>
      <c r="F1167" s="224">
        <v>10226</v>
      </c>
      <c r="G1167" s="224">
        <v>35247</v>
      </c>
      <c r="H1167" s="224"/>
      <c r="I1167" s="224"/>
      <c r="J1167" s="224"/>
      <c r="K1167" s="224"/>
    </row>
    <row r="1168" spans="1:11">
      <c r="A1168" s="23" t="s">
        <v>103</v>
      </c>
      <c r="B1168" s="23">
        <v>21</v>
      </c>
      <c r="C1168" s="23">
        <v>21</v>
      </c>
      <c r="D1168" s="224"/>
      <c r="E1168" s="224">
        <v>94500</v>
      </c>
      <c r="F1168" s="224">
        <v>35742</v>
      </c>
      <c r="G1168" s="224">
        <v>43651</v>
      </c>
      <c r="H1168" s="224"/>
      <c r="I1168" s="224"/>
      <c r="J1168" s="224"/>
      <c r="K1168" s="224"/>
    </row>
    <row r="1169" spans="1:11">
      <c r="A1169" s="23" t="s">
        <v>103</v>
      </c>
      <c r="B1169" s="23">
        <v>21</v>
      </c>
      <c r="C1169" s="23">
        <v>26</v>
      </c>
      <c r="D1169" s="224"/>
      <c r="E1169" s="224">
        <v>552151</v>
      </c>
      <c r="F1169" s="224">
        <v>96269</v>
      </c>
      <c r="G1169" s="224">
        <v>266746</v>
      </c>
      <c r="H1169" s="224"/>
      <c r="I1169" s="224"/>
      <c r="J1169" s="224"/>
      <c r="K1169" s="224"/>
    </row>
    <row r="1170" spans="1:11">
      <c r="A1170" s="23" t="s">
        <v>103</v>
      </c>
      <c r="B1170" s="23">
        <v>21</v>
      </c>
      <c r="C1170" s="23">
        <v>27</v>
      </c>
      <c r="D1170" s="224">
        <v>3000</v>
      </c>
      <c r="E1170" s="224">
        <v>940472</v>
      </c>
      <c r="F1170" s="224">
        <v>823605</v>
      </c>
      <c r="G1170" s="224">
        <v>860752</v>
      </c>
      <c r="H1170" s="224">
        <v>39320</v>
      </c>
      <c r="I1170" s="224">
        <v>80000</v>
      </c>
      <c r="J1170" s="224"/>
      <c r="K1170" s="224"/>
    </row>
    <row r="1171" spans="1:11">
      <c r="A1171" s="23" t="s">
        <v>103</v>
      </c>
      <c r="B1171" s="23">
        <v>21</v>
      </c>
      <c r="C1171" s="23">
        <v>31</v>
      </c>
      <c r="D1171" s="224"/>
      <c r="E1171" s="224">
        <v>25246</v>
      </c>
      <c r="F1171" s="224"/>
      <c r="G1171" s="224">
        <v>5751</v>
      </c>
      <c r="H1171" s="224"/>
      <c r="I1171" s="224">
        <v>1500</v>
      </c>
      <c r="J1171" s="224">
        <v>500</v>
      </c>
      <c r="K1171" s="224"/>
    </row>
    <row r="1172" spans="1:11">
      <c r="A1172" s="23" t="s">
        <v>103</v>
      </c>
      <c r="B1172" s="23">
        <v>21</v>
      </c>
      <c r="C1172" s="23">
        <v>33</v>
      </c>
      <c r="D1172" s="224"/>
      <c r="E1172" s="224"/>
      <c r="F1172" s="224"/>
      <c r="G1172" s="224"/>
      <c r="H1172" s="224">
        <v>1499</v>
      </c>
      <c r="I1172" s="224"/>
      <c r="J1172" s="224"/>
      <c r="K1172" s="224"/>
    </row>
    <row r="1173" spans="1:11">
      <c r="A1173" s="23" t="s">
        <v>103</v>
      </c>
      <c r="B1173" s="23">
        <v>21</v>
      </c>
      <c r="C1173" s="23">
        <v>34</v>
      </c>
      <c r="D1173" s="224"/>
      <c r="E1173" s="224">
        <v>58406</v>
      </c>
      <c r="F1173" s="224"/>
      <c r="G1173" s="224">
        <v>9526</v>
      </c>
      <c r="H1173" s="224"/>
      <c r="I1173" s="224"/>
      <c r="J1173" s="224"/>
      <c r="K1173" s="224"/>
    </row>
    <row r="1174" spans="1:11">
      <c r="A1174" s="23" t="s">
        <v>103</v>
      </c>
      <c r="B1174" s="23">
        <v>23</v>
      </c>
      <c r="C1174" s="23">
        <v>26</v>
      </c>
      <c r="D1174" s="224"/>
      <c r="E1174" s="224"/>
      <c r="F1174" s="224"/>
      <c r="G1174" s="224"/>
      <c r="H1174" s="224"/>
      <c r="I1174" s="224">
        <v>88690</v>
      </c>
      <c r="J1174" s="224"/>
      <c r="K1174" s="224"/>
    </row>
    <row r="1175" spans="1:11">
      <c r="A1175" s="23" t="s">
        <v>103</v>
      </c>
      <c r="B1175" s="23">
        <v>23</v>
      </c>
      <c r="C1175" s="23">
        <v>27</v>
      </c>
      <c r="D1175" s="224"/>
      <c r="E1175" s="224"/>
      <c r="F1175" s="224"/>
      <c r="G1175" s="224"/>
      <c r="H1175" s="224">
        <v>7408</v>
      </c>
      <c r="I1175" s="224"/>
      <c r="J1175" s="224"/>
      <c r="K1175" s="224"/>
    </row>
    <row r="1176" spans="1:11">
      <c r="A1176" s="23" t="s">
        <v>103</v>
      </c>
      <c r="B1176" s="23">
        <v>24</v>
      </c>
      <c r="C1176" s="23">
        <v>27</v>
      </c>
      <c r="D1176" s="224"/>
      <c r="E1176" s="224">
        <v>199623</v>
      </c>
      <c r="F1176" s="224">
        <v>67405</v>
      </c>
      <c r="G1176" s="224">
        <v>114282</v>
      </c>
      <c r="H1176" s="224">
        <v>672</v>
      </c>
      <c r="I1176" s="224"/>
      <c r="J1176" s="224"/>
      <c r="K1176" s="224"/>
    </row>
    <row r="1177" spans="1:11">
      <c r="A1177" s="23" t="s">
        <v>103</v>
      </c>
      <c r="B1177" s="23">
        <v>24</v>
      </c>
      <c r="C1177" s="23">
        <v>31</v>
      </c>
      <c r="D1177" s="224"/>
      <c r="E1177" s="224">
        <v>3236</v>
      </c>
      <c r="F1177" s="224"/>
      <c r="G1177" s="224">
        <v>738</v>
      </c>
      <c r="H1177" s="224"/>
      <c r="I1177" s="224"/>
      <c r="J1177" s="224"/>
      <c r="K1177" s="224"/>
    </row>
    <row r="1178" spans="1:11">
      <c r="A1178" s="23" t="s">
        <v>214</v>
      </c>
      <c r="B1178" s="23">
        <v>21</v>
      </c>
      <c r="C1178" s="23">
        <v>21</v>
      </c>
      <c r="D1178" s="224"/>
      <c r="E1178" s="224"/>
      <c r="F1178" s="224">
        <v>79101</v>
      </c>
      <c r="G1178" s="224">
        <v>28698</v>
      </c>
      <c r="H1178" s="224"/>
      <c r="I1178" s="224"/>
      <c r="J1178" s="224"/>
      <c r="K1178" s="224"/>
    </row>
    <row r="1179" spans="1:11">
      <c r="A1179" s="23" t="s">
        <v>214</v>
      </c>
      <c r="B1179" s="23">
        <v>21</v>
      </c>
      <c r="C1179" s="23">
        <v>26</v>
      </c>
      <c r="D1179" s="224"/>
      <c r="E1179" s="224">
        <v>108315</v>
      </c>
      <c r="F1179" s="224"/>
      <c r="G1179" s="224">
        <v>37425</v>
      </c>
      <c r="H1179" s="224">
        <v>2000</v>
      </c>
      <c r="I1179" s="224">
        <v>81001</v>
      </c>
      <c r="J1179" s="224">
        <v>9250</v>
      </c>
      <c r="K1179" s="224"/>
    </row>
    <row r="1180" spans="1:11">
      <c r="A1180" s="23" t="s">
        <v>214</v>
      </c>
      <c r="B1180" s="23">
        <v>21</v>
      </c>
      <c r="C1180" s="23">
        <v>27</v>
      </c>
      <c r="D1180" s="224"/>
      <c r="E1180" s="224">
        <v>552336</v>
      </c>
      <c r="F1180" s="224">
        <v>363481</v>
      </c>
      <c r="G1180" s="224">
        <v>408872</v>
      </c>
      <c r="H1180" s="224">
        <v>5600</v>
      </c>
      <c r="I1180" s="224">
        <v>2500</v>
      </c>
      <c r="J1180" s="224"/>
      <c r="K1180" s="224"/>
    </row>
    <row r="1181" spans="1:11">
      <c r="A1181" s="23" t="s">
        <v>214</v>
      </c>
      <c r="B1181" s="23">
        <v>21</v>
      </c>
      <c r="C1181" s="23">
        <v>31</v>
      </c>
      <c r="D1181" s="224"/>
      <c r="E1181" s="224"/>
      <c r="F1181" s="224"/>
      <c r="G1181" s="224"/>
      <c r="H1181" s="224"/>
      <c r="I1181" s="224">
        <v>3500</v>
      </c>
      <c r="J1181" s="224">
        <v>700</v>
      </c>
      <c r="K1181" s="224"/>
    </row>
    <row r="1182" spans="1:11">
      <c r="A1182" s="23" t="s">
        <v>214</v>
      </c>
      <c r="B1182" s="23">
        <v>21</v>
      </c>
      <c r="C1182" s="23">
        <v>32</v>
      </c>
      <c r="D1182" s="224"/>
      <c r="E1182" s="224"/>
      <c r="F1182" s="224"/>
      <c r="G1182" s="224"/>
      <c r="H1182" s="224">
        <v>3850</v>
      </c>
      <c r="I1182" s="224"/>
      <c r="J1182" s="224"/>
      <c r="K1182" s="224"/>
    </row>
    <row r="1183" spans="1:11">
      <c r="A1183" s="23" t="s">
        <v>214</v>
      </c>
      <c r="B1183" s="23">
        <v>21</v>
      </c>
      <c r="C1183" s="23">
        <v>33</v>
      </c>
      <c r="D1183" s="224"/>
      <c r="E1183" s="224"/>
      <c r="F1183" s="224"/>
      <c r="G1183" s="224"/>
      <c r="H1183" s="224">
        <v>10500</v>
      </c>
      <c r="I1183" s="224"/>
      <c r="J1183" s="224"/>
      <c r="K1183" s="224"/>
    </row>
    <row r="1184" spans="1:11">
      <c r="A1184" s="23" t="s">
        <v>214</v>
      </c>
      <c r="B1184" s="23">
        <v>21</v>
      </c>
      <c r="C1184" s="23">
        <v>34</v>
      </c>
      <c r="D1184" s="224"/>
      <c r="E1184" s="224">
        <v>8583</v>
      </c>
      <c r="F1184" s="224"/>
      <c r="G1184" s="224">
        <v>3327</v>
      </c>
      <c r="H1184" s="224"/>
      <c r="I1184" s="224"/>
      <c r="J1184" s="224"/>
      <c r="K1184" s="224"/>
    </row>
    <row r="1185" spans="1:11">
      <c r="A1185" s="23" t="s">
        <v>214</v>
      </c>
      <c r="B1185" s="23">
        <v>24</v>
      </c>
      <c r="C1185" s="23">
        <v>26</v>
      </c>
      <c r="D1185" s="224"/>
      <c r="E1185" s="224"/>
      <c r="F1185" s="224"/>
      <c r="G1185" s="224"/>
      <c r="H1185" s="224">
        <v>2654</v>
      </c>
      <c r="I1185" s="224">
        <v>98945</v>
      </c>
      <c r="J1185" s="224"/>
      <c r="K1185" s="224"/>
    </row>
    <row r="1186" spans="1:11">
      <c r="A1186" s="23" t="s">
        <v>214</v>
      </c>
      <c r="B1186" s="23">
        <v>24</v>
      </c>
      <c r="C1186" s="23">
        <v>27</v>
      </c>
      <c r="D1186" s="224"/>
      <c r="E1186" s="224">
        <v>18749</v>
      </c>
      <c r="F1186" s="224">
        <v>17016</v>
      </c>
      <c r="G1186" s="224">
        <v>18830</v>
      </c>
      <c r="H1186" s="224"/>
      <c r="I1186" s="224"/>
      <c r="J1186" s="224"/>
      <c r="K1186" s="224"/>
    </row>
    <row r="1187" spans="1:11">
      <c r="A1187" s="23" t="s">
        <v>214</v>
      </c>
      <c r="B1187" s="23">
        <v>29</v>
      </c>
      <c r="C1187" s="23">
        <v>27</v>
      </c>
      <c r="D1187" s="224"/>
      <c r="E1187" s="224"/>
      <c r="F1187" s="224"/>
      <c r="G1187" s="224"/>
      <c r="H1187" s="224">
        <v>6091</v>
      </c>
      <c r="I1187" s="224"/>
      <c r="J1187" s="224"/>
      <c r="K1187" s="224"/>
    </row>
    <row r="1188" spans="1:11">
      <c r="A1188" s="23" t="s">
        <v>216</v>
      </c>
      <c r="B1188" s="23">
        <v>21</v>
      </c>
      <c r="C1188" s="23">
        <v>21</v>
      </c>
      <c r="D1188" s="224"/>
      <c r="E1188" s="224">
        <v>144434</v>
      </c>
      <c r="F1188" s="224">
        <v>43719</v>
      </c>
      <c r="G1188" s="224">
        <v>67143</v>
      </c>
      <c r="H1188" s="224">
        <v>1200</v>
      </c>
      <c r="I1188" s="224">
        <v>1200</v>
      </c>
      <c r="J1188" s="224">
        <v>1200</v>
      </c>
      <c r="K1188" s="224">
        <v>200</v>
      </c>
    </row>
    <row r="1189" spans="1:11">
      <c r="A1189" s="23" t="s">
        <v>216</v>
      </c>
      <c r="B1189" s="23">
        <v>21</v>
      </c>
      <c r="C1189" s="23">
        <v>26</v>
      </c>
      <c r="D1189" s="224"/>
      <c r="E1189" s="224">
        <v>492602</v>
      </c>
      <c r="F1189" s="224">
        <v>99168</v>
      </c>
      <c r="G1189" s="224">
        <v>233881</v>
      </c>
      <c r="H1189" s="224">
        <v>7500</v>
      </c>
      <c r="I1189" s="224">
        <v>454003</v>
      </c>
      <c r="J1189" s="224">
        <v>4000</v>
      </c>
      <c r="K1189" s="224">
        <v>2000</v>
      </c>
    </row>
    <row r="1190" spans="1:11">
      <c r="A1190" s="23" t="s">
        <v>216</v>
      </c>
      <c r="B1190" s="23">
        <v>21</v>
      </c>
      <c r="C1190" s="23">
        <v>27</v>
      </c>
      <c r="D1190" s="224">
        <v>4000</v>
      </c>
      <c r="E1190" s="224">
        <v>986418</v>
      </c>
      <c r="F1190" s="224">
        <v>252340</v>
      </c>
      <c r="G1190" s="224">
        <v>565825</v>
      </c>
      <c r="H1190" s="224">
        <v>8000</v>
      </c>
      <c r="I1190" s="224">
        <v>9800</v>
      </c>
      <c r="J1190" s="224">
        <v>1000</v>
      </c>
      <c r="K1190" s="224">
        <v>2500</v>
      </c>
    </row>
    <row r="1191" spans="1:11">
      <c r="A1191" s="23" t="s">
        <v>216</v>
      </c>
      <c r="B1191" s="23">
        <v>21</v>
      </c>
      <c r="C1191" s="23">
        <v>31</v>
      </c>
      <c r="D1191" s="224"/>
      <c r="E1191" s="224">
        <v>32579</v>
      </c>
      <c r="F1191" s="224">
        <v>1000</v>
      </c>
      <c r="G1191" s="224">
        <v>4540</v>
      </c>
      <c r="H1191" s="224">
        <v>1000</v>
      </c>
      <c r="I1191" s="224">
        <v>4000</v>
      </c>
      <c r="J1191" s="224">
        <v>500</v>
      </c>
      <c r="K1191" s="224"/>
    </row>
    <row r="1192" spans="1:11">
      <c r="A1192" s="23" t="s">
        <v>216</v>
      </c>
      <c r="B1192" s="23">
        <v>21</v>
      </c>
      <c r="C1192" s="23">
        <v>32</v>
      </c>
      <c r="D1192" s="224"/>
      <c r="E1192" s="224"/>
      <c r="F1192" s="224"/>
      <c r="G1192" s="224"/>
      <c r="H1192" s="224"/>
      <c r="I1192" s="224"/>
      <c r="J1192" s="224"/>
      <c r="K1192" s="224">
        <v>500</v>
      </c>
    </row>
    <row r="1193" spans="1:11">
      <c r="A1193" s="23" t="s">
        <v>216</v>
      </c>
      <c r="B1193" s="23">
        <v>21</v>
      </c>
      <c r="C1193" s="23">
        <v>33</v>
      </c>
      <c r="D1193" s="224"/>
      <c r="E1193" s="224"/>
      <c r="F1193" s="224"/>
      <c r="G1193" s="224"/>
      <c r="H1193" s="224">
        <v>2000</v>
      </c>
      <c r="I1193" s="224">
        <v>3556</v>
      </c>
      <c r="J1193" s="224"/>
      <c r="K1193" s="224"/>
    </row>
    <row r="1194" spans="1:11">
      <c r="A1194" s="23" t="s">
        <v>216</v>
      </c>
      <c r="B1194" s="23">
        <v>24</v>
      </c>
      <c r="C1194" s="23">
        <v>27</v>
      </c>
      <c r="D1194" s="224"/>
      <c r="E1194" s="224"/>
      <c r="F1194" s="224">
        <v>213929</v>
      </c>
      <c r="G1194" s="224">
        <v>140268</v>
      </c>
      <c r="H1194" s="224"/>
      <c r="I1194" s="224">
        <v>79969</v>
      </c>
      <c r="J1194" s="224"/>
      <c r="K1194" s="224"/>
    </row>
    <row r="1195" spans="1:11">
      <c r="A1195" s="23" t="s">
        <v>48</v>
      </c>
      <c r="B1195" s="23">
        <v>21</v>
      </c>
      <c r="C1195" s="23">
        <v>21</v>
      </c>
      <c r="D1195" s="224"/>
      <c r="E1195" s="224">
        <v>334198</v>
      </c>
      <c r="F1195" s="224">
        <v>134888</v>
      </c>
      <c r="G1195" s="224">
        <v>148618</v>
      </c>
      <c r="H1195" s="224"/>
      <c r="I1195" s="224">
        <v>13650</v>
      </c>
      <c r="J1195" s="224"/>
      <c r="K1195" s="224"/>
    </row>
    <row r="1196" spans="1:11">
      <c r="A1196" s="23" t="s">
        <v>48</v>
      </c>
      <c r="B1196" s="23">
        <v>21</v>
      </c>
      <c r="C1196" s="23">
        <v>25</v>
      </c>
      <c r="D1196" s="224"/>
      <c r="E1196" s="224"/>
      <c r="F1196" s="224">
        <v>108683</v>
      </c>
      <c r="G1196" s="224">
        <v>59605</v>
      </c>
      <c r="H1196" s="224"/>
      <c r="I1196" s="224"/>
      <c r="J1196" s="224"/>
      <c r="K1196" s="224"/>
    </row>
    <row r="1197" spans="1:11">
      <c r="A1197" s="23" t="s">
        <v>48</v>
      </c>
      <c r="B1197" s="23">
        <v>21</v>
      </c>
      <c r="C1197" s="23">
        <v>26</v>
      </c>
      <c r="D1197" s="224"/>
      <c r="E1197" s="224">
        <v>2529223</v>
      </c>
      <c r="F1197" s="224">
        <v>38076</v>
      </c>
      <c r="G1197" s="224">
        <v>872372</v>
      </c>
      <c r="H1197" s="224"/>
      <c r="I1197" s="224">
        <v>262500</v>
      </c>
      <c r="J1197" s="224"/>
      <c r="K1197" s="224"/>
    </row>
    <row r="1198" spans="1:11">
      <c r="A1198" s="23" t="s">
        <v>48</v>
      </c>
      <c r="B1198" s="23">
        <v>21</v>
      </c>
      <c r="C1198" s="23">
        <v>27</v>
      </c>
      <c r="D1198" s="224">
        <v>26250</v>
      </c>
      <c r="E1198" s="224">
        <v>3403137</v>
      </c>
      <c r="F1198" s="224">
        <v>2077520</v>
      </c>
      <c r="G1198" s="224">
        <v>2518511</v>
      </c>
      <c r="H1198" s="224">
        <v>42286</v>
      </c>
      <c r="I1198" s="224"/>
      <c r="J1198" s="224"/>
      <c r="K1198" s="224"/>
    </row>
    <row r="1199" spans="1:11">
      <c r="A1199" s="23" t="s">
        <v>48</v>
      </c>
      <c r="B1199" s="23">
        <v>21</v>
      </c>
      <c r="C1199" s="23">
        <v>29</v>
      </c>
      <c r="D1199" s="224"/>
      <c r="E1199" s="224"/>
      <c r="F1199" s="224"/>
      <c r="G1199" s="224"/>
      <c r="H1199" s="224"/>
      <c r="I1199" s="224">
        <v>105000</v>
      </c>
      <c r="J1199" s="224"/>
      <c r="K1199" s="224"/>
    </row>
    <row r="1200" spans="1:11">
      <c r="A1200" s="23" t="s">
        <v>48</v>
      </c>
      <c r="B1200" s="23">
        <v>21</v>
      </c>
      <c r="C1200" s="23">
        <v>31</v>
      </c>
      <c r="D1200" s="224"/>
      <c r="E1200" s="224">
        <v>6000</v>
      </c>
      <c r="F1200" s="224"/>
      <c r="G1200" s="224">
        <v>1452</v>
      </c>
      <c r="H1200" s="224"/>
      <c r="I1200" s="224"/>
      <c r="J1200" s="224"/>
      <c r="K1200" s="224"/>
    </row>
    <row r="1201" spans="1:11">
      <c r="A1201" s="23" t="s">
        <v>48</v>
      </c>
      <c r="B1201" s="23">
        <v>21</v>
      </c>
      <c r="C1201" s="23">
        <v>34</v>
      </c>
      <c r="D1201" s="224"/>
      <c r="E1201" s="224">
        <v>82753</v>
      </c>
      <c r="F1201" s="224"/>
      <c r="G1201" s="224">
        <v>18973</v>
      </c>
      <c r="H1201" s="224"/>
      <c r="I1201" s="224"/>
      <c r="J1201" s="224"/>
      <c r="K1201" s="224"/>
    </row>
    <row r="1202" spans="1:11">
      <c r="A1202" s="23" t="s">
        <v>48</v>
      </c>
      <c r="B1202" s="23">
        <v>24</v>
      </c>
      <c r="C1202" s="23">
        <v>27</v>
      </c>
      <c r="D1202" s="224"/>
      <c r="E1202" s="224">
        <v>45857</v>
      </c>
      <c r="F1202" s="224">
        <v>1106653</v>
      </c>
      <c r="G1202" s="224">
        <v>686395</v>
      </c>
      <c r="H1202" s="224"/>
      <c r="I1202" s="224"/>
      <c r="J1202" s="224"/>
      <c r="K1202" s="224"/>
    </row>
    <row r="1203" spans="1:11">
      <c r="A1203" s="23" t="s">
        <v>48</v>
      </c>
      <c r="B1203" s="23">
        <v>29</v>
      </c>
      <c r="C1203" s="23">
        <v>27</v>
      </c>
      <c r="D1203" s="224"/>
      <c r="E1203" s="224"/>
      <c r="F1203" s="224">
        <v>291286</v>
      </c>
      <c r="G1203" s="224">
        <v>171269</v>
      </c>
      <c r="H1203" s="224"/>
      <c r="I1203" s="224"/>
      <c r="J1203" s="224"/>
      <c r="K1203" s="224"/>
    </row>
    <row r="1204" spans="1:11">
      <c r="A1204" s="23" t="s">
        <v>48</v>
      </c>
      <c r="B1204" s="23">
        <v>29</v>
      </c>
      <c r="C1204" s="23">
        <v>31</v>
      </c>
      <c r="D1204" s="224"/>
      <c r="E1204" s="224"/>
      <c r="F1204" s="224">
        <v>34000</v>
      </c>
      <c r="G1204" s="224">
        <v>4534</v>
      </c>
      <c r="H1204" s="224"/>
      <c r="I1204" s="224"/>
      <c r="J1204" s="224"/>
      <c r="K1204" s="224"/>
    </row>
    <row r="1205" spans="1:11">
      <c r="A1205" s="23" t="s">
        <v>50</v>
      </c>
      <c r="B1205" s="23">
        <v>21</v>
      </c>
      <c r="C1205" s="23">
        <v>21</v>
      </c>
      <c r="D1205" s="224"/>
      <c r="E1205" s="224">
        <v>120635</v>
      </c>
      <c r="F1205" s="224">
        <v>47420</v>
      </c>
      <c r="G1205" s="224">
        <v>59325</v>
      </c>
      <c r="H1205" s="224">
        <v>1710</v>
      </c>
      <c r="I1205" s="224"/>
      <c r="J1205" s="224"/>
      <c r="K1205" s="224"/>
    </row>
    <row r="1206" spans="1:11">
      <c r="A1206" s="23" t="s">
        <v>50</v>
      </c>
      <c r="B1206" s="23">
        <v>21</v>
      </c>
      <c r="C1206" s="23">
        <v>23</v>
      </c>
      <c r="D1206" s="224"/>
      <c r="E1206" s="224">
        <v>64954</v>
      </c>
      <c r="F1206" s="224">
        <v>78831</v>
      </c>
      <c r="G1206" s="224">
        <v>61340</v>
      </c>
      <c r="H1206" s="224"/>
      <c r="I1206" s="224"/>
      <c r="J1206" s="224"/>
      <c r="K1206" s="224"/>
    </row>
    <row r="1207" spans="1:11">
      <c r="A1207" s="23" t="s">
        <v>50</v>
      </c>
      <c r="B1207" s="23">
        <v>21</v>
      </c>
      <c r="C1207" s="23">
        <v>26</v>
      </c>
      <c r="D1207" s="224"/>
      <c r="E1207" s="224">
        <v>178458</v>
      </c>
      <c r="F1207" s="224">
        <v>34432</v>
      </c>
      <c r="G1207" s="224">
        <v>85193</v>
      </c>
      <c r="H1207" s="224"/>
      <c r="I1207" s="224">
        <v>618533</v>
      </c>
      <c r="J1207" s="224"/>
      <c r="K1207" s="224"/>
    </row>
    <row r="1208" spans="1:11">
      <c r="A1208" s="23" t="s">
        <v>50</v>
      </c>
      <c r="B1208" s="23">
        <v>21</v>
      </c>
      <c r="C1208" s="23">
        <v>27</v>
      </c>
      <c r="D1208" s="224"/>
      <c r="E1208" s="224">
        <v>907490</v>
      </c>
      <c r="F1208" s="224">
        <v>605190</v>
      </c>
      <c r="G1208" s="224">
        <v>753883</v>
      </c>
      <c r="H1208" s="224">
        <v>485453</v>
      </c>
      <c r="I1208" s="224">
        <v>-340000</v>
      </c>
      <c r="J1208" s="224"/>
      <c r="K1208" s="224"/>
    </row>
    <row r="1209" spans="1:11">
      <c r="A1209" s="23" t="s">
        <v>50</v>
      </c>
      <c r="B1209" s="23">
        <v>21</v>
      </c>
      <c r="C1209" s="23">
        <v>34</v>
      </c>
      <c r="D1209" s="224"/>
      <c r="E1209" s="224">
        <v>23469</v>
      </c>
      <c r="F1209" s="224"/>
      <c r="G1209" s="224">
        <v>5416</v>
      </c>
      <c r="H1209" s="224"/>
      <c r="I1209" s="224"/>
      <c r="J1209" s="224"/>
      <c r="K1209" s="224"/>
    </row>
    <row r="1210" spans="1:11">
      <c r="A1210" s="23" t="s">
        <v>50</v>
      </c>
      <c r="B1210" s="23">
        <v>23</v>
      </c>
      <c r="C1210" s="23">
        <v>27</v>
      </c>
      <c r="D1210" s="224"/>
      <c r="E1210" s="224"/>
      <c r="F1210" s="224"/>
      <c r="G1210" s="224">
        <v>52381</v>
      </c>
      <c r="H1210" s="224"/>
      <c r="I1210" s="224"/>
      <c r="J1210" s="224"/>
      <c r="K1210" s="224"/>
    </row>
    <row r="1211" spans="1:11">
      <c r="A1211" s="23" t="s">
        <v>50</v>
      </c>
      <c r="B1211" s="23">
        <v>24</v>
      </c>
      <c r="C1211" s="23">
        <v>26</v>
      </c>
      <c r="D1211" s="224"/>
      <c r="E1211" s="224">
        <v>182839</v>
      </c>
      <c r="F1211" s="224"/>
      <c r="G1211" s="224">
        <v>42138</v>
      </c>
      <c r="H1211" s="224"/>
      <c r="I1211" s="224"/>
      <c r="J1211" s="224"/>
      <c r="K1211" s="224"/>
    </row>
    <row r="1212" spans="1:11">
      <c r="A1212" s="23" t="s">
        <v>50</v>
      </c>
      <c r="B1212" s="23">
        <v>24</v>
      </c>
      <c r="C1212" s="23">
        <v>27</v>
      </c>
      <c r="D1212" s="224"/>
      <c r="E1212" s="224">
        <v>162263</v>
      </c>
      <c r="F1212" s="224">
        <v>83419</v>
      </c>
      <c r="G1212" s="224">
        <v>28734</v>
      </c>
      <c r="H1212" s="224"/>
      <c r="I1212" s="224"/>
      <c r="J1212" s="224"/>
      <c r="K1212" s="224"/>
    </row>
    <row r="1213" spans="1:11">
      <c r="A1213" s="23" t="s">
        <v>316</v>
      </c>
      <c r="B1213" s="23">
        <v>21</v>
      </c>
      <c r="C1213" s="23">
        <v>26</v>
      </c>
      <c r="D1213" s="224"/>
      <c r="E1213" s="224"/>
      <c r="F1213" s="224"/>
      <c r="G1213" s="224"/>
      <c r="H1213" s="224"/>
      <c r="I1213" s="224">
        <v>70000</v>
      </c>
      <c r="J1213" s="224"/>
      <c r="K1213" s="224"/>
    </row>
    <row r="1214" spans="1:11">
      <c r="A1214" s="23" t="s">
        <v>316</v>
      </c>
      <c r="B1214" s="23">
        <v>21</v>
      </c>
      <c r="C1214" s="23">
        <v>27</v>
      </c>
      <c r="D1214" s="224"/>
      <c r="E1214" s="224">
        <v>30132</v>
      </c>
      <c r="F1214" s="224">
        <v>25462</v>
      </c>
      <c r="G1214" s="224">
        <v>26856</v>
      </c>
      <c r="H1214" s="224">
        <v>499</v>
      </c>
      <c r="I1214" s="224">
        <v>4000</v>
      </c>
      <c r="J1214" s="224"/>
      <c r="K1214" s="224"/>
    </row>
    <row r="1215" spans="1:11">
      <c r="A1215" s="23" t="s">
        <v>316</v>
      </c>
      <c r="B1215" s="23">
        <v>24</v>
      </c>
      <c r="C1215" s="23">
        <v>26</v>
      </c>
      <c r="D1215" s="224"/>
      <c r="E1215" s="224"/>
      <c r="F1215" s="224"/>
      <c r="G1215" s="224"/>
      <c r="H1215" s="224"/>
      <c r="I1215" s="224">
        <v>11000</v>
      </c>
      <c r="J1215" s="224"/>
      <c r="K1215" s="224"/>
    </row>
    <row r="1216" spans="1:11">
      <c r="A1216" s="23" t="s">
        <v>318</v>
      </c>
      <c r="B1216" s="23">
        <v>21</v>
      </c>
      <c r="C1216" s="23">
        <v>21</v>
      </c>
      <c r="D1216" s="224"/>
      <c r="E1216" s="224">
        <v>436595</v>
      </c>
      <c r="F1216" s="224">
        <v>134410</v>
      </c>
      <c r="G1216" s="224">
        <v>186760</v>
      </c>
      <c r="H1216" s="224">
        <v>200</v>
      </c>
      <c r="I1216" s="224">
        <v>21488</v>
      </c>
      <c r="J1216" s="224">
        <v>2800</v>
      </c>
      <c r="K1216" s="224"/>
    </row>
    <row r="1217" spans="1:11">
      <c r="A1217" s="23" t="s">
        <v>318</v>
      </c>
      <c r="B1217" s="23">
        <v>21</v>
      </c>
      <c r="C1217" s="23">
        <v>26</v>
      </c>
      <c r="D1217" s="224"/>
      <c r="E1217" s="224">
        <v>7175582</v>
      </c>
      <c r="F1217" s="224">
        <v>447992</v>
      </c>
      <c r="G1217" s="224">
        <v>2880161</v>
      </c>
      <c r="H1217" s="224">
        <v>45600</v>
      </c>
      <c r="I1217" s="224">
        <v>2500</v>
      </c>
      <c r="J1217" s="224">
        <v>2000</v>
      </c>
      <c r="K1217" s="224"/>
    </row>
    <row r="1218" spans="1:11">
      <c r="A1218" s="23" t="s">
        <v>318</v>
      </c>
      <c r="B1218" s="23">
        <v>21</v>
      </c>
      <c r="C1218" s="23">
        <v>27</v>
      </c>
      <c r="D1218" s="224">
        <v>14000</v>
      </c>
      <c r="E1218" s="224">
        <v>9919770</v>
      </c>
      <c r="F1218" s="224">
        <v>9013773</v>
      </c>
      <c r="G1218" s="224">
        <v>9137588</v>
      </c>
      <c r="H1218" s="224">
        <v>74494</v>
      </c>
      <c r="I1218" s="224">
        <v>802579</v>
      </c>
      <c r="J1218" s="224">
        <v>5500</v>
      </c>
      <c r="K1218" s="224"/>
    </row>
    <row r="1219" spans="1:11">
      <c r="A1219" s="23" t="s">
        <v>318</v>
      </c>
      <c r="B1219" s="23">
        <v>21</v>
      </c>
      <c r="C1219" s="23">
        <v>31</v>
      </c>
      <c r="D1219" s="224"/>
      <c r="E1219" s="224">
        <v>418157</v>
      </c>
      <c r="F1219" s="224">
        <v>32000</v>
      </c>
      <c r="G1219" s="224">
        <v>108233</v>
      </c>
      <c r="H1219" s="224"/>
      <c r="I1219" s="224">
        <v>9600</v>
      </c>
      <c r="J1219" s="224">
        <v>2500</v>
      </c>
      <c r="K1219" s="224"/>
    </row>
    <row r="1220" spans="1:11">
      <c r="A1220" s="23" t="s">
        <v>318</v>
      </c>
      <c r="B1220" s="23">
        <v>21</v>
      </c>
      <c r="C1220" s="23">
        <v>32</v>
      </c>
      <c r="D1220" s="224"/>
      <c r="E1220" s="224"/>
      <c r="F1220" s="224"/>
      <c r="G1220" s="224"/>
      <c r="H1220" s="224">
        <v>5000</v>
      </c>
      <c r="I1220" s="224"/>
      <c r="J1220" s="224"/>
      <c r="K1220" s="224"/>
    </row>
    <row r="1221" spans="1:11">
      <c r="A1221" s="23" t="s">
        <v>318</v>
      </c>
      <c r="B1221" s="23">
        <v>21</v>
      </c>
      <c r="C1221" s="23">
        <v>33</v>
      </c>
      <c r="D1221" s="224"/>
      <c r="E1221" s="224"/>
      <c r="F1221" s="224"/>
      <c r="G1221" s="224"/>
      <c r="H1221" s="224">
        <v>12597</v>
      </c>
      <c r="I1221" s="224">
        <v>70015</v>
      </c>
      <c r="J1221" s="224"/>
      <c r="K1221" s="224"/>
    </row>
    <row r="1222" spans="1:11">
      <c r="A1222" s="23" t="s">
        <v>318</v>
      </c>
      <c r="B1222" s="23">
        <v>21</v>
      </c>
      <c r="C1222" s="23">
        <v>34</v>
      </c>
      <c r="D1222" s="224"/>
      <c r="E1222" s="224">
        <v>305296</v>
      </c>
      <c r="F1222" s="224"/>
      <c r="G1222" s="224">
        <v>73369</v>
      </c>
      <c r="H1222" s="224"/>
      <c r="I1222" s="224"/>
      <c r="J1222" s="224"/>
      <c r="K1222" s="224"/>
    </row>
    <row r="1223" spans="1:11">
      <c r="A1223" s="23" t="s">
        <v>318</v>
      </c>
      <c r="B1223" s="23">
        <v>23</v>
      </c>
      <c r="C1223" s="23">
        <v>27</v>
      </c>
      <c r="D1223" s="224"/>
      <c r="E1223" s="224">
        <v>464038</v>
      </c>
      <c r="F1223" s="224">
        <v>21655</v>
      </c>
      <c r="G1223" s="224">
        <v>190032</v>
      </c>
      <c r="H1223" s="224"/>
      <c r="I1223" s="224"/>
      <c r="J1223" s="224"/>
      <c r="K1223" s="224"/>
    </row>
    <row r="1224" spans="1:11">
      <c r="A1224" s="23" t="s">
        <v>318</v>
      </c>
      <c r="B1224" s="23">
        <v>23</v>
      </c>
      <c r="C1224" s="23">
        <v>33</v>
      </c>
      <c r="D1224" s="224"/>
      <c r="E1224" s="224"/>
      <c r="F1224" s="224"/>
      <c r="G1224" s="224"/>
      <c r="H1224" s="224">
        <v>59543</v>
      </c>
      <c r="I1224" s="224"/>
      <c r="J1224" s="224"/>
      <c r="K1224" s="224"/>
    </row>
    <row r="1225" spans="1:11">
      <c r="A1225" s="23" t="s">
        <v>318</v>
      </c>
      <c r="B1225" s="23">
        <v>24</v>
      </c>
      <c r="C1225" s="23">
        <v>27</v>
      </c>
      <c r="D1225" s="224"/>
      <c r="E1225" s="224">
        <v>1453578</v>
      </c>
      <c r="F1225" s="224">
        <v>250750</v>
      </c>
      <c r="G1225" s="224">
        <v>691773</v>
      </c>
      <c r="H1225" s="224"/>
      <c r="I1225" s="224"/>
      <c r="J1225" s="224"/>
      <c r="K1225" s="224"/>
    </row>
    <row r="1226" spans="1:11">
      <c r="A1226" s="23" t="s">
        <v>318</v>
      </c>
      <c r="B1226" s="23">
        <v>29</v>
      </c>
      <c r="C1226" s="23">
        <v>21</v>
      </c>
      <c r="D1226" s="224"/>
      <c r="E1226" s="224"/>
      <c r="F1226" s="224"/>
      <c r="G1226" s="224"/>
      <c r="H1226" s="224"/>
      <c r="I1226" s="224">
        <v>115000</v>
      </c>
      <c r="J1226" s="224"/>
      <c r="K1226" s="224"/>
    </row>
    <row r="1227" spans="1:11">
      <c r="A1227" s="23" t="s">
        <v>320</v>
      </c>
      <c r="B1227" s="23">
        <v>21</v>
      </c>
      <c r="C1227" s="23">
        <v>27</v>
      </c>
      <c r="D1227" s="224"/>
      <c r="E1227" s="224">
        <v>52977</v>
      </c>
      <c r="F1227" s="224">
        <v>129436</v>
      </c>
      <c r="G1227" s="224">
        <v>121367</v>
      </c>
      <c r="H1227" s="224"/>
      <c r="I1227" s="224"/>
      <c r="J1227" s="224">
        <v>500</v>
      </c>
      <c r="K1227" s="224"/>
    </row>
    <row r="1228" spans="1:11">
      <c r="A1228" s="23" t="s">
        <v>320</v>
      </c>
      <c r="B1228" s="23">
        <v>21</v>
      </c>
      <c r="C1228" s="23">
        <v>31</v>
      </c>
      <c r="D1228" s="224"/>
      <c r="E1228" s="224"/>
      <c r="F1228" s="224"/>
      <c r="G1228" s="224"/>
      <c r="H1228" s="224">
        <v>500</v>
      </c>
      <c r="I1228" s="224">
        <v>500</v>
      </c>
      <c r="J1228" s="224">
        <v>500</v>
      </c>
      <c r="K1228" s="224"/>
    </row>
    <row r="1229" spans="1:11">
      <c r="A1229" s="23" t="s">
        <v>320</v>
      </c>
      <c r="B1229" s="23">
        <v>21</v>
      </c>
      <c r="C1229" s="23">
        <v>33</v>
      </c>
      <c r="D1229" s="224"/>
      <c r="E1229" s="224"/>
      <c r="F1229" s="224"/>
      <c r="G1229" s="224"/>
      <c r="H1229" s="224">
        <v>15500</v>
      </c>
      <c r="I1229" s="224"/>
      <c r="J1229" s="224"/>
      <c r="K1229" s="224"/>
    </row>
    <row r="1230" spans="1:11">
      <c r="A1230" s="23" t="s">
        <v>320</v>
      </c>
      <c r="B1230" s="23">
        <v>24</v>
      </c>
      <c r="C1230" s="23">
        <v>26</v>
      </c>
      <c r="D1230" s="224"/>
      <c r="E1230" s="224">
        <v>19800</v>
      </c>
      <c r="F1230" s="224"/>
      <c r="G1230" s="224">
        <v>8716</v>
      </c>
      <c r="H1230" s="224"/>
      <c r="I1230" s="224">
        <v>27568</v>
      </c>
      <c r="J1230" s="224"/>
      <c r="K1230" s="224"/>
    </row>
    <row r="1231" spans="1:11">
      <c r="A1231" s="23" t="s">
        <v>322</v>
      </c>
      <c r="B1231" s="23">
        <v>21</v>
      </c>
      <c r="C1231" s="23">
        <v>21</v>
      </c>
      <c r="D1231" s="224">
        <v>2000</v>
      </c>
      <c r="E1231" s="224">
        <v>1644396</v>
      </c>
      <c r="F1231" s="224">
        <v>597466</v>
      </c>
      <c r="G1231" s="224">
        <v>678824</v>
      </c>
      <c r="H1231" s="224">
        <v>8200</v>
      </c>
      <c r="I1231" s="224">
        <v>90444</v>
      </c>
      <c r="J1231" s="224">
        <v>49000</v>
      </c>
      <c r="K1231" s="224"/>
    </row>
    <row r="1232" spans="1:11">
      <c r="A1232" s="23" t="s">
        <v>322</v>
      </c>
      <c r="B1232" s="23">
        <v>21</v>
      </c>
      <c r="C1232" s="23">
        <v>23</v>
      </c>
      <c r="D1232" s="224"/>
      <c r="E1232" s="224">
        <v>5500</v>
      </c>
      <c r="F1232" s="224"/>
      <c r="G1232" s="224">
        <v>1284</v>
      </c>
      <c r="H1232" s="224"/>
      <c r="I1232" s="224"/>
      <c r="J1232" s="224"/>
      <c r="K1232" s="224"/>
    </row>
    <row r="1233" spans="1:11">
      <c r="A1233" s="23" t="s">
        <v>322</v>
      </c>
      <c r="B1233" s="23">
        <v>21</v>
      </c>
      <c r="C1233" s="23">
        <v>24</v>
      </c>
      <c r="D1233" s="224"/>
      <c r="E1233" s="224"/>
      <c r="F1233" s="224"/>
      <c r="G1233" s="224"/>
      <c r="H1233" s="224"/>
      <c r="I1233" s="224">
        <v>10000</v>
      </c>
      <c r="J1233" s="224"/>
      <c r="K1233" s="224"/>
    </row>
    <row r="1234" spans="1:11">
      <c r="A1234" s="23" t="s">
        <v>322</v>
      </c>
      <c r="B1234" s="23">
        <v>21</v>
      </c>
      <c r="C1234" s="23">
        <v>26</v>
      </c>
      <c r="D1234" s="224"/>
      <c r="E1234" s="224">
        <v>9362490</v>
      </c>
      <c r="F1234" s="224">
        <v>884412</v>
      </c>
      <c r="G1234" s="224">
        <v>3634442</v>
      </c>
      <c r="H1234" s="224">
        <v>106419</v>
      </c>
      <c r="I1234" s="224">
        <v>562442</v>
      </c>
      <c r="J1234" s="224">
        <v>10000</v>
      </c>
      <c r="K1234" s="224"/>
    </row>
    <row r="1235" spans="1:11">
      <c r="A1235" s="23" t="s">
        <v>322</v>
      </c>
      <c r="B1235" s="23">
        <v>21</v>
      </c>
      <c r="C1235" s="23">
        <v>27</v>
      </c>
      <c r="D1235" s="224">
        <v>35000</v>
      </c>
      <c r="E1235" s="224">
        <v>15259478</v>
      </c>
      <c r="F1235" s="224">
        <v>15527405</v>
      </c>
      <c r="G1235" s="224">
        <v>12903062</v>
      </c>
      <c r="H1235" s="224">
        <v>62643</v>
      </c>
      <c r="I1235" s="224">
        <v>4006675</v>
      </c>
      <c r="J1235" s="224">
        <v>2000</v>
      </c>
      <c r="K1235" s="224"/>
    </row>
    <row r="1236" spans="1:11">
      <c r="A1236" s="23" t="s">
        <v>322</v>
      </c>
      <c r="B1236" s="23">
        <v>21</v>
      </c>
      <c r="C1236" s="23">
        <v>29</v>
      </c>
      <c r="D1236" s="224"/>
      <c r="E1236" s="224"/>
      <c r="F1236" s="224"/>
      <c r="G1236" s="224"/>
      <c r="H1236" s="224"/>
      <c r="I1236" s="224">
        <v>240000</v>
      </c>
      <c r="J1236" s="224"/>
      <c r="K1236" s="224"/>
    </row>
    <row r="1237" spans="1:11">
      <c r="A1237" s="23" t="s">
        <v>322</v>
      </c>
      <c r="B1237" s="23">
        <v>21</v>
      </c>
      <c r="C1237" s="23">
        <v>31</v>
      </c>
      <c r="D1237" s="224"/>
      <c r="E1237" s="224">
        <v>148003</v>
      </c>
      <c r="F1237" s="224">
        <v>32520</v>
      </c>
      <c r="G1237" s="224">
        <v>38297</v>
      </c>
      <c r="H1237" s="224">
        <v>5000</v>
      </c>
      <c r="I1237" s="224">
        <v>2000</v>
      </c>
      <c r="J1237" s="224"/>
      <c r="K1237" s="224"/>
    </row>
    <row r="1238" spans="1:11">
      <c r="A1238" s="23" t="s">
        <v>322</v>
      </c>
      <c r="B1238" s="23">
        <v>21</v>
      </c>
      <c r="C1238" s="23">
        <v>33</v>
      </c>
      <c r="D1238" s="224"/>
      <c r="E1238" s="224"/>
      <c r="F1238" s="224"/>
      <c r="G1238" s="224"/>
      <c r="H1238" s="224">
        <v>36813</v>
      </c>
      <c r="I1238" s="224">
        <v>22134</v>
      </c>
      <c r="J1238" s="224"/>
      <c r="K1238" s="224"/>
    </row>
    <row r="1239" spans="1:11">
      <c r="A1239" s="23" t="s">
        <v>322</v>
      </c>
      <c r="B1239" s="23">
        <v>21</v>
      </c>
      <c r="C1239" s="23">
        <v>34</v>
      </c>
      <c r="D1239" s="224"/>
      <c r="E1239" s="224">
        <v>366211</v>
      </c>
      <c r="F1239" s="224"/>
      <c r="G1239" s="224">
        <v>85025</v>
      </c>
      <c r="H1239" s="224"/>
      <c r="I1239" s="224"/>
      <c r="J1239" s="224"/>
      <c r="K1239" s="224"/>
    </row>
    <row r="1240" spans="1:11">
      <c r="A1240" s="23" t="s">
        <v>322</v>
      </c>
      <c r="B1240" s="23">
        <v>23</v>
      </c>
      <c r="C1240" s="23">
        <v>27</v>
      </c>
      <c r="D1240" s="224"/>
      <c r="E1240" s="224">
        <v>196286</v>
      </c>
      <c r="F1240" s="224">
        <v>280968</v>
      </c>
      <c r="G1240" s="224">
        <v>102820</v>
      </c>
      <c r="H1240" s="224"/>
      <c r="I1240" s="224">
        <v>82601</v>
      </c>
      <c r="J1240" s="224"/>
      <c r="K1240" s="224"/>
    </row>
    <row r="1241" spans="1:11">
      <c r="A1241" s="23" t="s">
        <v>322</v>
      </c>
      <c r="B1241" s="23">
        <v>24</v>
      </c>
      <c r="C1241" s="23">
        <v>21</v>
      </c>
      <c r="D1241" s="224"/>
      <c r="E1241" s="224"/>
      <c r="F1241" s="224"/>
      <c r="G1241" s="224"/>
      <c r="H1241" s="224">
        <v>35493</v>
      </c>
      <c r="I1241" s="224"/>
      <c r="J1241" s="224"/>
      <c r="K1241" s="224"/>
    </row>
    <row r="1242" spans="1:11">
      <c r="A1242" s="23" t="s">
        <v>322</v>
      </c>
      <c r="B1242" s="23">
        <v>24</v>
      </c>
      <c r="C1242" s="23">
        <v>26</v>
      </c>
      <c r="D1242" s="224"/>
      <c r="E1242" s="224">
        <v>773029</v>
      </c>
      <c r="F1242" s="224">
        <v>145553</v>
      </c>
      <c r="G1242" s="224">
        <v>320969</v>
      </c>
      <c r="H1242" s="224"/>
      <c r="I1242" s="224"/>
      <c r="J1242" s="224"/>
      <c r="K1242" s="224"/>
    </row>
    <row r="1243" spans="1:11">
      <c r="A1243" s="23" t="s">
        <v>322</v>
      </c>
      <c r="B1243" s="23">
        <v>24</v>
      </c>
      <c r="C1243" s="23">
        <v>27</v>
      </c>
      <c r="D1243" s="224"/>
      <c r="E1243" s="224">
        <v>867678</v>
      </c>
      <c r="F1243" s="224">
        <v>1020082</v>
      </c>
      <c r="G1243" s="224">
        <v>768012</v>
      </c>
      <c r="H1243" s="224"/>
      <c r="I1243" s="224">
        <v>800000</v>
      </c>
      <c r="J1243" s="224"/>
      <c r="K1243" s="224"/>
    </row>
    <row r="1244" spans="1:11">
      <c r="A1244" s="23" t="s">
        <v>322</v>
      </c>
      <c r="B1244" s="23">
        <v>24</v>
      </c>
      <c r="C1244" s="23">
        <v>29</v>
      </c>
      <c r="D1244" s="224"/>
      <c r="E1244" s="224"/>
      <c r="F1244" s="224"/>
      <c r="G1244" s="224"/>
      <c r="H1244" s="224"/>
      <c r="I1244" s="224">
        <v>200000</v>
      </c>
      <c r="J1244" s="224"/>
      <c r="K1244" s="224"/>
    </row>
    <row r="1245" spans="1:11">
      <c r="A1245" s="23" t="s">
        <v>322</v>
      </c>
      <c r="B1245" s="23">
        <v>24</v>
      </c>
      <c r="C1245" s="23">
        <v>31</v>
      </c>
      <c r="D1245" s="224"/>
      <c r="E1245" s="224">
        <v>24187</v>
      </c>
      <c r="F1245" s="224"/>
      <c r="G1245" s="224">
        <v>5537</v>
      </c>
      <c r="H1245" s="224"/>
      <c r="I1245" s="224"/>
      <c r="J1245" s="224"/>
      <c r="K1245" s="224"/>
    </row>
    <row r="1246" spans="1:11">
      <c r="A1246" s="23" t="s">
        <v>324</v>
      </c>
      <c r="B1246" s="23">
        <v>21</v>
      </c>
      <c r="C1246" s="23">
        <v>21</v>
      </c>
      <c r="D1246" s="224"/>
      <c r="E1246" s="224">
        <v>386947</v>
      </c>
      <c r="F1246" s="224">
        <v>137456</v>
      </c>
      <c r="G1246" s="224">
        <v>171143</v>
      </c>
      <c r="H1246" s="224"/>
      <c r="I1246" s="224"/>
      <c r="J1246" s="224"/>
      <c r="K1246" s="224"/>
    </row>
    <row r="1247" spans="1:11">
      <c r="A1247" s="23" t="s">
        <v>324</v>
      </c>
      <c r="B1247" s="23">
        <v>21</v>
      </c>
      <c r="C1247" s="23">
        <v>26</v>
      </c>
      <c r="D1247" s="224"/>
      <c r="E1247" s="224">
        <v>2167398</v>
      </c>
      <c r="F1247" s="224">
        <v>86914</v>
      </c>
      <c r="G1247" s="224">
        <v>816430</v>
      </c>
      <c r="H1247" s="224"/>
      <c r="I1247" s="224"/>
      <c r="J1247" s="224"/>
      <c r="K1247" s="224"/>
    </row>
    <row r="1248" spans="1:11">
      <c r="A1248" s="23" t="s">
        <v>324</v>
      </c>
      <c r="B1248" s="23">
        <v>21</v>
      </c>
      <c r="C1248" s="23">
        <v>27</v>
      </c>
      <c r="D1248" s="224"/>
      <c r="E1248" s="224">
        <v>5802066</v>
      </c>
      <c r="F1248" s="224">
        <v>3550536</v>
      </c>
      <c r="G1248" s="224">
        <v>4214695</v>
      </c>
      <c r="H1248" s="224"/>
      <c r="I1248" s="224"/>
      <c r="J1248" s="224"/>
      <c r="K1248" s="224"/>
    </row>
    <row r="1249" spans="1:11">
      <c r="A1249" s="23" t="s">
        <v>324</v>
      </c>
      <c r="B1249" s="23">
        <v>21</v>
      </c>
      <c r="C1249" s="23">
        <v>31</v>
      </c>
      <c r="D1249" s="224"/>
      <c r="E1249" s="224">
        <v>459250</v>
      </c>
      <c r="F1249" s="224">
        <v>100315</v>
      </c>
      <c r="G1249" s="224">
        <v>191545</v>
      </c>
      <c r="H1249" s="224"/>
      <c r="I1249" s="224"/>
      <c r="J1249" s="224"/>
      <c r="K1249" s="224"/>
    </row>
    <row r="1250" spans="1:11">
      <c r="A1250" s="23" t="s">
        <v>324</v>
      </c>
      <c r="B1250" s="23">
        <v>21</v>
      </c>
      <c r="C1250" s="23">
        <v>34</v>
      </c>
      <c r="D1250" s="224"/>
      <c r="E1250" s="224">
        <v>133522</v>
      </c>
      <c r="F1250" s="224"/>
      <c r="G1250" s="224">
        <v>48689</v>
      </c>
      <c r="H1250" s="224"/>
      <c r="I1250" s="224"/>
      <c r="J1250" s="224"/>
      <c r="K1250" s="224"/>
    </row>
    <row r="1251" spans="1:11">
      <c r="A1251" s="23" t="s">
        <v>324</v>
      </c>
      <c r="B1251" s="23">
        <v>23</v>
      </c>
      <c r="C1251" s="23">
        <v>27</v>
      </c>
      <c r="D1251" s="224"/>
      <c r="E1251" s="224"/>
      <c r="F1251" s="224">
        <v>247048</v>
      </c>
      <c r="G1251" s="224">
        <v>155274</v>
      </c>
      <c r="H1251" s="224"/>
      <c r="I1251" s="224"/>
      <c r="J1251" s="224"/>
      <c r="K1251" s="224"/>
    </row>
    <row r="1252" spans="1:11">
      <c r="A1252" s="23" t="s">
        <v>324</v>
      </c>
      <c r="B1252" s="23">
        <v>24</v>
      </c>
      <c r="C1252" s="23">
        <v>27</v>
      </c>
      <c r="D1252" s="224"/>
      <c r="E1252" s="224"/>
      <c r="F1252" s="224">
        <v>705858</v>
      </c>
      <c r="G1252" s="224">
        <v>434721</v>
      </c>
      <c r="H1252" s="224"/>
      <c r="I1252" s="224"/>
      <c r="J1252" s="224"/>
      <c r="K1252" s="224"/>
    </row>
    <row r="1253" spans="1:11">
      <c r="A1253" s="23" t="s">
        <v>324</v>
      </c>
      <c r="B1253" s="23">
        <v>29</v>
      </c>
      <c r="C1253" s="23">
        <v>26</v>
      </c>
      <c r="D1253" s="224"/>
      <c r="E1253" s="224"/>
      <c r="F1253" s="224"/>
      <c r="G1253" s="224"/>
      <c r="H1253" s="224"/>
      <c r="I1253" s="224">
        <v>271047</v>
      </c>
      <c r="J1253" s="224"/>
      <c r="K1253" s="224"/>
    </row>
    <row r="1254" spans="1:11">
      <c r="A1254" s="23" t="s">
        <v>326</v>
      </c>
      <c r="B1254" s="23">
        <v>21</v>
      </c>
      <c r="C1254" s="23">
        <v>21</v>
      </c>
      <c r="D1254" s="224"/>
      <c r="E1254" s="224">
        <v>31233</v>
      </c>
      <c r="F1254" s="224"/>
      <c r="G1254" s="224">
        <v>8729</v>
      </c>
      <c r="H1254" s="224"/>
      <c r="I1254" s="224"/>
      <c r="J1254" s="224"/>
      <c r="K1254" s="224"/>
    </row>
    <row r="1255" spans="1:11">
      <c r="A1255" s="23" t="s">
        <v>326</v>
      </c>
      <c r="B1255" s="23">
        <v>21</v>
      </c>
      <c r="C1255" s="23">
        <v>26</v>
      </c>
      <c r="D1255" s="224"/>
      <c r="E1255" s="224"/>
      <c r="F1255" s="224"/>
      <c r="G1255" s="224"/>
      <c r="H1255" s="224"/>
      <c r="I1255" s="224">
        <v>27005</v>
      </c>
      <c r="J1255" s="224"/>
      <c r="K1255" s="224"/>
    </row>
    <row r="1256" spans="1:11">
      <c r="A1256" s="23" t="s">
        <v>326</v>
      </c>
      <c r="B1256" s="23">
        <v>21</v>
      </c>
      <c r="C1256" s="23">
        <v>27</v>
      </c>
      <c r="D1256" s="224"/>
      <c r="E1256" s="224">
        <v>46957</v>
      </c>
      <c r="F1256" s="224">
        <v>34687</v>
      </c>
      <c r="G1256" s="224">
        <v>42020</v>
      </c>
      <c r="H1256" s="224">
        <v>5036</v>
      </c>
      <c r="I1256" s="224"/>
      <c r="J1256" s="224"/>
      <c r="K1256" s="224"/>
    </row>
    <row r="1257" spans="1:11">
      <c r="A1257" s="23" t="s">
        <v>326</v>
      </c>
      <c r="B1257" s="23">
        <v>24</v>
      </c>
      <c r="C1257" s="23">
        <v>26</v>
      </c>
      <c r="D1257" s="224"/>
      <c r="E1257" s="224"/>
      <c r="F1257" s="224"/>
      <c r="G1257" s="224"/>
      <c r="H1257" s="224"/>
      <c r="I1257" s="224">
        <v>28553</v>
      </c>
      <c r="J1257" s="224"/>
      <c r="K1257" s="224"/>
    </row>
    <row r="1258" spans="1:11">
      <c r="A1258" s="23" t="s">
        <v>328</v>
      </c>
      <c r="B1258" s="23">
        <v>21</v>
      </c>
      <c r="C1258" s="23">
        <v>26</v>
      </c>
      <c r="D1258" s="224"/>
      <c r="E1258" s="224"/>
      <c r="F1258" s="224"/>
      <c r="G1258" s="224"/>
      <c r="H1258" s="224"/>
      <c r="I1258" s="224">
        <v>120040</v>
      </c>
      <c r="J1258" s="224"/>
      <c r="K1258" s="224"/>
    </row>
    <row r="1259" spans="1:11">
      <c r="A1259" s="23" t="s">
        <v>328</v>
      </c>
      <c r="B1259" s="23">
        <v>21</v>
      </c>
      <c r="C1259" s="23">
        <v>27</v>
      </c>
      <c r="D1259" s="224"/>
      <c r="E1259" s="224">
        <v>186567</v>
      </c>
      <c r="F1259" s="224">
        <v>120254</v>
      </c>
      <c r="G1259" s="224">
        <v>111474</v>
      </c>
      <c r="H1259" s="224">
        <v>1000</v>
      </c>
      <c r="I1259" s="224">
        <v>60000</v>
      </c>
      <c r="J1259" s="224"/>
      <c r="K1259" s="224"/>
    </row>
    <row r="1260" spans="1:11">
      <c r="A1260" s="23" t="s">
        <v>328</v>
      </c>
      <c r="B1260" s="23">
        <v>21</v>
      </c>
      <c r="C1260" s="23">
        <v>34</v>
      </c>
      <c r="D1260" s="224"/>
      <c r="E1260" s="224">
        <v>3092</v>
      </c>
      <c r="F1260" s="224"/>
      <c r="G1260" s="224">
        <v>726</v>
      </c>
      <c r="H1260" s="224"/>
      <c r="I1260" s="224"/>
      <c r="J1260" s="224"/>
      <c r="K1260" s="224"/>
    </row>
    <row r="1261" spans="1:11">
      <c r="A1261" s="23" t="s">
        <v>328</v>
      </c>
      <c r="B1261" s="23">
        <v>24</v>
      </c>
      <c r="C1261" s="23">
        <v>26</v>
      </c>
      <c r="D1261" s="224"/>
      <c r="E1261" s="224"/>
      <c r="F1261" s="224"/>
      <c r="G1261" s="224"/>
      <c r="H1261" s="224"/>
      <c r="I1261" s="224">
        <v>53873</v>
      </c>
      <c r="J1261" s="224"/>
      <c r="K1261" s="224"/>
    </row>
    <row r="1262" spans="1:11">
      <c r="A1262" s="23" t="s">
        <v>328</v>
      </c>
      <c r="B1262" s="23">
        <v>24</v>
      </c>
      <c r="C1262" s="23">
        <v>27</v>
      </c>
      <c r="D1262" s="224"/>
      <c r="E1262" s="224"/>
      <c r="F1262" s="224"/>
      <c r="G1262" s="224"/>
      <c r="H1262" s="224"/>
      <c r="I1262" s="224"/>
      <c r="J1262" s="224">
        <v>476</v>
      </c>
      <c r="K1262" s="224"/>
    </row>
    <row r="1263" spans="1:11">
      <c r="A1263" s="23" t="s">
        <v>328</v>
      </c>
      <c r="B1263" s="23">
        <v>29</v>
      </c>
      <c r="C1263" s="23">
        <v>26</v>
      </c>
      <c r="D1263" s="224"/>
      <c r="E1263" s="224"/>
      <c r="F1263" s="224"/>
      <c r="G1263" s="224"/>
      <c r="H1263" s="224"/>
      <c r="I1263" s="224">
        <v>2500</v>
      </c>
      <c r="J1263" s="224"/>
      <c r="K1263" s="224"/>
    </row>
    <row r="1264" spans="1:11">
      <c r="A1264" s="23" t="s">
        <v>328</v>
      </c>
      <c r="B1264" s="23">
        <v>29</v>
      </c>
      <c r="C1264" s="23">
        <v>27</v>
      </c>
      <c r="D1264" s="224"/>
      <c r="E1264" s="224"/>
      <c r="F1264" s="224"/>
      <c r="G1264" s="224"/>
      <c r="H1264" s="224">
        <v>9800</v>
      </c>
      <c r="I1264" s="224"/>
      <c r="J1264" s="224"/>
      <c r="K1264" s="224"/>
    </row>
    <row r="1265" spans="1:11">
      <c r="A1265" s="23" t="s">
        <v>328</v>
      </c>
      <c r="B1265" s="23">
        <v>29</v>
      </c>
      <c r="C1265" s="23">
        <v>29</v>
      </c>
      <c r="D1265" s="224"/>
      <c r="E1265" s="224"/>
      <c r="F1265" s="224"/>
      <c r="G1265" s="224"/>
      <c r="H1265" s="224"/>
      <c r="I1265" s="224">
        <v>9200</v>
      </c>
      <c r="J1265" s="224"/>
      <c r="K1265" s="224"/>
    </row>
    <row r="1266" spans="1:11">
      <c r="A1266" s="23" t="s">
        <v>330</v>
      </c>
      <c r="B1266" s="23">
        <v>21</v>
      </c>
      <c r="C1266" s="23">
        <v>29</v>
      </c>
      <c r="D1266" s="224"/>
      <c r="E1266" s="224"/>
      <c r="F1266" s="224"/>
      <c r="G1266" s="224"/>
      <c r="H1266" s="224"/>
      <c r="I1266" s="224">
        <v>1703247</v>
      </c>
      <c r="J1266" s="224"/>
      <c r="K1266" s="224"/>
    </row>
    <row r="1267" spans="1:11">
      <c r="A1267" s="23" t="s">
        <v>104</v>
      </c>
      <c r="B1267" s="23">
        <v>21</v>
      </c>
      <c r="C1267" s="23">
        <v>21</v>
      </c>
      <c r="D1267" s="224"/>
      <c r="E1267" s="224">
        <v>51219</v>
      </c>
      <c r="F1267" s="224">
        <v>21220</v>
      </c>
      <c r="G1267" s="224">
        <v>29793</v>
      </c>
      <c r="H1267" s="224"/>
      <c r="I1267" s="224"/>
      <c r="J1267" s="224"/>
      <c r="K1267" s="224"/>
    </row>
    <row r="1268" spans="1:11">
      <c r="A1268" s="23" t="s">
        <v>104</v>
      </c>
      <c r="B1268" s="23">
        <v>21</v>
      </c>
      <c r="C1268" s="23">
        <v>27</v>
      </c>
      <c r="D1268" s="224"/>
      <c r="E1268" s="224">
        <v>271829</v>
      </c>
      <c r="F1268" s="224">
        <v>216591</v>
      </c>
      <c r="G1268" s="224">
        <v>253784</v>
      </c>
      <c r="H1268" s="224"/>
      <c r="I1268" s="224"/>
      <c r="J1268" s="224"/>
      <c r="K1268" s="224"/>
    </row>
    <row r="1269" spans="1:11">
      <c r="A1269" s="23" t="s">
        <v>104</v>
      </c>
      <c r="B1269" s="23">
        <v>24</v>
      </c>
      <c r="C1269" s="23">
        <v>26</v>
      </c>
      <c r="D1269" s="224"/>
      <c r="E1269" s="224"/>
      <c r="F1269" s="224"/>
      <c r="G1269" s="224"/>
      <c r="H1269" s="224"/>
      <c r="I1269" s="224">
        <v>150725</v>
      </c>
      <c r="J1269" s="224"/>
      <c r="K1269" s="224"/>
    </row>
    <row r="1270" spans="1:11">
      <c r="A1270" s="23" t="s">
        <v>104</v>
      </c>
      <c r="B1270" s="23">
        <v>24</v>
      </c>
      <c r="C1270" s="23">
        <v>27</v>
      </c>
      <c r="D1270" s="224"/>
      <c r="E1270" s="224">
        <v>19204</v>
      </c>
      <c r="F1270" s="224"/>
      <c r="G1270" s="224">
        <v>6845</v>
      </c>
      <c r="H1270" s="224"/>
      <c r="I1270" s="224"/>
      <c r="J1270" s="224"/>
      <c r="K1270" s="224"/>
    </row>
    <row r="1271" spans="1:11">
      <c r="A1271" s="23" t="s">
        <v>106</v>
      </c>
      <c r="B1271" s="23">
        <v>21</v>
      </c>
      <c r="C1271" s="23">
        <v>26</v>
      </c>
      <c r="D1271" s="224"/>
      <c r="E1271" s="224"/>
      <c r="F1271" s="224"/>
      <c r="G1271" s="224"/>
      <c r="H1271" s="224"/>
      <c r="I1271" s="224">
        <v>50000</v>
      </c>
      <c r="J1271" s="224"/>
      <c r="K1271" s="224"/>
    </row>
    <row r="1272" spans="1:11">
      <c r="A1272" s="23" t="s">
        <v>106</v>
      </c>
      <c r="B1272" s="23">
        <v>21</v>
      </c>
      <c r="C1272" s="23">
        <v>27</v>
      </c>
      <c r="D1272" s="224"/>
      <c r="E1272" s="224">
        <v>63708</v>
      </c>
      <c r="F1272" s="224">
        <v>125716</v>
      </c>
      <c r="G1272" s="224">
        <v>130882</v>
      </c>
      <c r="H1272" s="224">
        <v>700</v>
      </c>
      <c r="I1272" s="224"/>
      <c r="J1272" s="224"/>
      <c r="K1272" s="224"/>
    </row>
    <row r="1273" spans="1:11">
      <c r="A1273" s="23" t="s">
        <v>106</v>
      </c>
      <c r="B1273" s="23">
        <v>21</v>
      </c>
      <c r="C1273" s="23">
        <v>33</v>
      </c>
      <c r="D1273" s="224"/>
      <c r="E1273" s="224"/>
      <c r="F1273" s="224"/>
      <c r="G1273" s="224"/>
      <c r="H1273" s="224">
        <v>2500</v>
      </c>
      <c r="I1273" s="224"/>
      <c r="J1273" s="224">
        <v>1000</v>
      </c>
      <c r="K1273" s="224"/>
    </row>
    <row r="1274" spans="1:11">
      <c r="A1274" s="23" t="s">
        <v>106</v>
      </c>
      <c r="B1274" s="23">
        <v>21</v>
      </c>
      <c r="C1274" s="23">
        <v>34</v>
      </c>
      <c r="D1274" s="224"/>
      <c r="E1274" s="224">
        <v>1034</v>
      </c>
      <c r="F1274" s="224"/>
      <c r="G1274" s="224">
        <v>441</v>
      </c>
      <c r="H1274" s="224"/>
      <c r="I1274" s="224"/>
      <c r="J1274" s="224"/>
      <c r="K1274" s="224"/>
    </row>
    <row r="1275" spans="1:11">
      <c r="A1275" s="23" t="s">
        <v>106</v>
      </c>
      <c r="B1275" s="23">
        <v>24</v>
      </c>
      <c r="C1275" s="23">
        <v>26</v>
      </c>
      <c r="D1275" s="224"/>
      <c r="E1275" s="224"/>
      <c r="F1275" s="224"/>
      <c r="G1275" s="224"/>
      <c r="H1275" s="224"/>
      <c r="I1275" s="224">
        <v>54027</v>
      </c>
      <c r="J1275" s="224"/>
      <c r="K1275" s="224"/>
    </row>
    <row r="1276" spans="1:11">
      <c r="A1276" s="23" t="s">
        <v>108</v>
      </c>
      <c r="B1276" s="23">
        <v>21</v>
      </c>
      <c r="C1276" s="23">
        <v>21</v>
      </c>
      <c r="D1276" s="224"/>
      <c r="E1276" s="224">
        <v>135549</v>
      </c>
      <c r="F1276" s="224">
        <v>29118</v>
      </c>
      <c r="G1276" s="224">
        <v>61842</v>
      </c>
      <c r="H1276" s="224">
        <v>1000</v>
      </c>
      <c r="I1276" s="224"/>
      <c r="J1276" s="224"/>
      <c r="K1276" s="224"/>
    </row>
    <row r="1277" spans="1:11">
      <c r="A1277" s="23" t="s">
        <v>108</v>
      </c>
      <c r="B1277" s="23">
        <v>21</v>
      </c>
      <c r="C1277" s="23">
        <v>26</v>
      </c>
      <c r="D1277" s="224"/>
      <c r="E1277" s="224">
        <v>104840</v>
      </c>
      <c r="F1277" s="224"/>
      <c r="G1277" s="224">
        <v>36404</v>
      </c>
      <c r="H1277" s="224">
        <v>1000</v>
      </c>
      <c r="I1277" s="224">
        <v>1000</v>
      </c>
      <c r="J1277" s="224">
        <v>500</v>
      </c>
      <c r="K1277" s="224"/>
    </row>
    <row r="1278" spans="1:11">
      <c r="A1278" s="23" t="s">
        <v>108</v>
      </c>
      <c r="B1278" s="23">
        <v>21</v>
      </c>
      <c r="C1278" s="23">
        <v>27</v>
      </c>
      <c r="D1278" s="224"/>
      <c r="E1278" s="224">
        <v>420540</v>
      </c>
      <c r="F1278" s="224">
        <v>428162</v>
      </c>
      <c r="G1278" s="224">
        <v>422008</v>
      </c>
      <c r="H1278" s="224">
        <v>8745</v>
      </c>
      <c r="I1278" s="224">
        <v>170250</v>
      </c>
      <c r="J1278" s="224">
        <v>1500</v>
      </c>
      <c r="K1278" s="224"/>
    </row>
    <row r="1279" spans="1:11">
      <c r="A1279" s="23" t="s">
        <v>108</v>
      </c>
      <c r="B1279" s="23">
        <v>21</v>
      </c>
      <c r="C1279" s="23">
        <v>31</v>
      </c>
      <c r="D1279" s="224"/>
      <c r="E1279" s="224"/>
      <c r="F1279" s="224"/>
      <c r="G1279" s="224"/>
      <c r="H1279" s="224">
        <v>200</v>
      </c>
      <c r="I1279" s="224">
        <v>5500</v>
      </c>
      <c r="J1279" s="224">
        <v>500</v>
      </c>
      <c r="K1279" s="224"/>
    </row>
    <row r="1280" spans="1:11">
      <c r="A1280" s="23" t="s">
        <v>108</v>
      </c>
      <c r="B1280" s="23">
        <v>21</v>
      </c>
      <c r="C1280" s="23">
        <v>32</v>
      </c>
      <c r="D1280" s="224"/>
      <c r="E1280" s="224"/>
      <c r="F1280" s="224"/>
      <c r="G1280" s="224"/>
      <c r="H1280" s="224">
        <v>7000</v>
      </c>
      <c r="I1280" s="224"/>
      <c r="J1280" s="224"/>
      <c r="K1280" s="224"/>
    </row>
    <row r="1281" spans="1:11">
      <c r="A1281" s="23" t="s">
        <v>108</v>
      </c>
      <c r="B1281" s="23">
        <v>21</v>
      </c>
      <c r="C1281" s="23">
        <v>33</v>
      </c>
      <c r="D1281" s="224"/>
      <c r="E1281" s="224"/>
      <c r="F1281" s="224"/>
      <c r="G1281" s="224"/>
      <c r="H1281" s="224">
        <v>500</v>
      </c>
      <c r="I1281" s="224"/>
      <c r="J1281" s="224"/>
      <c r="K1281" s="224"/>
    </row>
    <row r="1282" spans="1:11">
      <c r="A1282" s="23" t="s">
        <v>108</v>
      </c>
      <c r="B1282" s="23">
        <v>21</v>
      </c>
      <c r="C1282" s="23">
        <v>34</v>
      </c>
      <c r="D1282" s="224"/>
      <c r="E1282" s="224">
        <v>10095</v>
      </c>
      <c r="F1282" s="224"/>
      <c r="G1282" s="224">
        <v>2397</v>
      </c>
      <c r="H1282" s="224"/>
      <c r="I1282" s="224"/>
      <c r="J1282" s="224"/>
      <c r="K1282" s="224"/>
    </row>
    <row r="1283" spans="1:11">
      <c r="A1283" s="23" t="s">
        <v>108</v>
      </c>
      <c r="B1283" s="23">
        <v>24</v>
      </c>
      <c r="C1283" s="23">
        <v>27</v>
      </c>
      <c r="D1283" s="224"/>
      <c r="E1283" s="224"/>
      <c r="F1283" s="224">
        <v>113823</v>
      </c>
      <c r="G1283" s="224">
        <v>62797</v>
      </c>
      <c r="H1283" s="224"/>
      <c r="I1283" s="224">
        <v>48480</v>
      </c>
      <c r="J1283" s="224"/>
      <c r="K1283" s="224"/>
    </row>
    <row r="1284" spans="1:11">
      <c r="A1284" s="23" t="s">
        <v>110</v>
      </c>
      <c r="B1284" s="23">
        <v>21</v>
      </c>
      <c r="C1284" s="23">
        <v>21</v>
      </c>
      <c r="D1284" s="224"/>
      <c r="E1284" s="224">
        <v>451293</v>
      </c>
      <c r="F1284" s="224">
        <v>329487</v>
      </c>
      <c r="G1284" s="224">
        <v>268351</v>
      </c>
      <c r="H1284" s="224">
        <v>10000</v>
      </c>
      <c r="I1284" s="224">
        <v>43000</v>
      </c>
      <c r="J1284" s="224"/>
      <c r="K1284" s="224"/>
    </row>
    <row r="1285" spans="1:11">
      <c r="A1285" s="23" t="s">
        <v>110</v>
      </c>
      <c r="B1285" s="23">
        <v>21</v>
      </c>
      <c r="C1285" s="23">
        <v>25</v>
      </c>
      <c r="D1285" s="224"/>
      <c r="E1285" s="224"/>
      <c r="F1285" s="224"/>
      <c r="G1285" s="224"/>
      <c r="H1285" s="224"/>
      <c r="I1285" s="224">
        <v>13550</v>
      </c>
      <c r="J1285" s="224"/>
      <c r="K1285" s="224"/>
    </row>
    <row r="1286" spans="1:11">
      <c r="A1286" s="23" t="s">
        <v>110</v>
      </c>
      <c r="B1286" s="23">
        <v>21</v>
      </c>
      <c r="C1286" s="23">
        <v>26</v>
      </c>
      <c r="D1286" s="224"/>
      <c r="E1286" s="224">
        <v>3763356</v>
      </c>
      <c r="F1286" s="224">
        <v>162832</v>
      </c>
      <c r="G1286" s="224">
        <v>1560117</v>
      </c>
      <c r="H1286" s="224">
        <v>68000</v>
      </c>
      <c r="I1286" s="224">
        <v>449897</v>
      </c>
      <c r="J1286" s="224"/>
      <c r="K1286" s="224"/>
    </row>
    <row r="1287" spans="1:11">
      <c r="A1287" s="23" t="s">
        <v>110</v>
      </c>
      <c r="B1287" s="23">
        <v>21</v>
      </c>
      <c r="C1287" s="23">
        <v>27</v>
      </c>
      <c r="D1287" s="224">
        <v>19000</v>
      </c>
      <c r="E1287" s="224">
        <v>5691663</v>
      </c>
      <c r="F1287" s="224">
        <v>6398932</v>
      </c>
      <c r="G1287" s="224">
        <v>6403263</v>
      </c>
      <c r="H1287" s="224">
        <v>112231</v>
      </c>
      <c r="I1287" s="224">
        <v>1203000</v>
      </c>
      <c r="J1287" s="224"/>
      <c r="K1287" s="224"/>
    </row>
    <row r="1288" spans="1:11">
      <c r="A1288" s="23" t="s">
        <v>110</v>
      </c>
      <c r="B1288" s="23">
        <v>21</v>
      </c>
      <c r="C1288" s="23">
        <v>31</v>
      </c>
      <c r="D1288" s="224"/>
      <c r="E1288" s="224">
        <v>149650</v>
      </c>
      <c r="F1288" s="224"/>
      <c r="G1288" s="224">
        <v>22620</v>
      </c>
      <c r="H1288" s="224"/>
      <c r="I1288" s="224"/>
      <c r="J1288" s="224"/>
      <c r="K1288" s="224"/>
    </row>
    <row r="1289" spans="1:11">
      <c r="A1289" s="23" t="s">
        <v>110</v>
      </c>
      <c r="B1289" s="23">
        <v>21</v>
      </c>
      <c r="C1289" s="23">
        <v>34</v>
      </c>
      <c r="D1289" s="224"/>
      <c r="E1289" s="224">
        <v>112248</v>
      </c>
      <c r="F1289" s="224"/>
      <c r="G1289" s="224">
        <v>16885</v>
      </c>
      <c r="H1289" s="224"/>
      <c r="I1289" s="224"/>
      <c r="J1289" s="224"/>
      <c r="K1289" s="224"/>
    </row>
    <row r="1290" spans="1:11">
      <c r="A1290" s="23" t="s">
        <v>110</v>
      </c>
      <c r="B1290" s="23">
        <v>23</v>
      </c>
      <c r="C1290" s="23">
        <v>21</v>
      </c>
      <c r="D1290" s="224"/>
      <c r="E1290" s="224">
        <v>135714</v>
      </c>
      <c r="F1290" s="224"/>
      <c r="G1290" s="224">
        <v>44257</v>
      </c>
      <c r="H1290" s="224"/>
      <c r="I1290" s="224"/>
      <c r="J1290" s="224"/>
      <c r="K1290" s="224"/>
    </row>
    <row r="1291" spans="1:11">
      <c r="A1291" s="23" t="s">
        <v>110</v>
      </c>
      <c r="B1291" s="23">
        <v>23</v>
      </c>
      <c r="C1291" s="23">
        <v>27</v>
      </c>
      <c r="D1291" s="224"/>
      <c r="E1291" s="224">
        <v>30496</v>
      </c>
      <c r="F1291" s="224"/>
      <c r="G1291" s="224">
        <v>7673</v>
      </c>
      <c r="H1291" s="224">
        <v>84000</v>
      </c>
      <c r="I1291" s="224"/>
      <c r="J1291" s="224"/>
      <c r="K1291" s="224"/>
    </row>
    <row r="1292" spans="1:11">
      <c r="A1292" s="23" t="s">
        <v>110</v>
      </c>
      <c r="B1292" s="23">
        <v>24</v>
      </c>
      <c r="C1292" s="23">
        <v>26</v>
      </c>
      <c r="D1292" s="224"/>
      <c r="E1292" s="224">
        <v>9278</v>
      </c>
      <c r="F1292" s="224"/>
      <c r="G1292" s="224">
        <v>3685</v>
      </c>
      <c r="H1292" s="224"/>
      <c r="I1292" s="224"/>
      <c r="J1292" s="224"/>
      <c r="K1292" s="224"/>
    </row>
    <row r="1293" spans="1:11">
      <c r="A1293" s="23" t="s">
        <v>110</v>
      </c>
      <c r="B1293" s="23">
        <v>24</v>
      </c>
      <c r="C1293" s="23">
        <v>27</v>
      </c>
      <c r="D1293" s="224"/>
      <c r="E1293" s="224">
        <v>968373</v>
      </c>
      <c r="F1293" s="224">
        <v>361156</v>
      </c>
      <c r="G1293" s="224">
        <v>596037</v>
      </c>
      <c r="H1293" s="224">
        <v>2698</v>
      </c>
      <c r="I1293" s="224">
        <v>207745</v>
      </c>
      <c r="J1293" s="224"/>
      <c r="K1293" s="224"/>
    </row>
    <row r="1294" spans="1:11">
      <c r="A1294" s="23" t="s">
        <v>112</v>
      </c>
      <c r="B1294" s="23">
        <v>21</v>
      </c>
      <c r="C1294" s="23">
        <v>21</v>
      </c>
      <c r="D1294" s="224"/>
      <c r="E1294" s="224">
        <v>128710</v>
      </c>
      <c r="F1294" s="224">
        <v>101305</v>
      </c>
      <c r="G1294" s="224">
        <v>97704</v>
      </c>
      <c r="H1294" s="224"/>
      <c r="I1294" s="224"/>
      <c r="J1294" s="224"/>
      <c r="K1294" s="224"/>
    </row>
    <row r="1295" spans="1:11">
      <c r="A1295" s="23" t="s">
        <v>112</v>
      </c>
      <c r="B1295" s="23">
        <v>21</v>
      </c>
      <c r="C1295" s="23">
        <v>24</v>
      </c>
      <c r="D1295" s="224"/>
      <c r="E1295" s="224">
        <v>95044</v>
      </c>
      <c r="F1295" s="224"/>
      <c r="G1295" s="224">
        <v>35659</v>
      </c>
      <c r="H1295" s="224"/>
      <c r="I1295" s="224"/>
      <c r="J1295" s="224"/>
      <c r="K1295" s="224"/>
    </row>
    <row r="1296" spans="1:11">
      <c r="A1296" s="23" t="s">
        <v>112</v>
      </c>
      <c r="B1296" s="23">
        <v>21</v>
      </c>
      <c r="C1296" s="23">
        <v>25</v>
      </c>
      <c r="D1296" s="224"/>
      <c r="E1296" s="224"/>
      <c r="F1296" s="224">
        <v>82051</v>
      </c>
      <c r="G1296" s="224">
        <v>59214</v>
      </c>
      <c r="H1296" s="224"/>
      <c r="I1296" s="224"/>
      <c r="J1296" s="224"/>
      <c r="K1296" s="224"/>
    </row>
    <row r="1297" spans="1:11">
      <c r="A1297" s="23" t="s">
        <v>112</v>
      </c>
      <c r="B1297" s="23">
        <v>21</v>
      </c>
      <c r="C1297" s="23">
        <v>26</v>
      </c>
      <c r="D1297" s="224"/>
      <c r="E1297" s="224">
        <v>341323</v>
      </c>
      <c r="F1297" s="224">
        <v>21786</v>
      </c>
      <c r="G1297" s="224">
        <v>151603</v>
      </c>
      <c r="H1297" s="224"/>
      <c r="I1297" s="224"/>
      <c r="J1297" s="224"/>
      <c r="K1297" s="224"/>
    </row>
    <row r="1298" spans="1:11">
      <c r="A1298" s="23" t="s">
        <v>112</v>
      </c>
      <c r="B1298" s="23">
        <v>21</v>
      </c>
      <c r="C1298" s="23">
        <v>27</v>
      </c>
      <c r="D1298" s="224"/>
      <c r="E1298" s="224">
        <v>3165571</v>
      </c>
      <c r="F1298" s="224">
        <v>918061</v>
      </c>
      <c r="G1298" s="224">
        <v>2040333</v>
      </c>
      <c r="H1298" s="224"/>
      <c r="I1298" s="224">
        <v>1897677</v>
      </c>
      <c r="J1298" s="224"/>
      <c r="K1298" s="224"/>
    </row>
    <row r="1299" spans="1:11">
      <c r="A1299" s="23" t="s">
        <v>112</v>
      </c>
      <c r="B1299" s="23">
        <v>21</v>
      </c>
      <c r="C1299" s="23">
        <v>31</v>
      </c>
      <c r="D1299" s="224"/>
      <c r="E1299" s="224">
        <v>31107</v>
      </c>
      <c r="F1299" s="224"/>
      <c r="G1299" s="224">
        <v>8332</v>
      </c>
      <c r="H1299" s="224"/>
      <c r="I1299" s="224"/>
      <c r="J1299" s="224"/>
      <c r="K1299" s="224"/>
    </row>
    <row r="1300" spans="1:11">
      <c r="A1300" s="23" t="s">
        <v>112</v>
      </c>
      <c r="B1300" s="23">
        <v>21</v>
      </c>
      <c r="C1300" s="23">
        <v>34</v>
      </c>
      <c r="D1300" s="224"/>
      <c r="E1300" s="224">
        <v>23561</v>
      </c>
      <c r="F1300" s="224"/>
      <c r="G1300" s="224">
        <v>9373</v>
      </c>
      <c r="H1300" s="224"/>
      <c r="I1300" s="224"/>
      <c r="J1300" s="224"/>
      <c r="K1300" s="224"/>
    </row>
    <row r="1301" spans="1:11">
      <c r="A1301" s="23" t="s">
        <v>112</v>
      </c>
      <c r="B1301" s="23">
        <v>24</v>
      </c>
      <c r="C1301" s="23">
        <v>27</v>
      </c>
      <c r="D1301" s="224"/>
      <c r="E1301" s="224">
        <v>735866</v>
      </c>
      <c r="F1301" s="224">
        <v>22606</v>
      </c>
      <c r="G1301" s="224">
        <v>351073</v>
      </c>
      <c r="H1301" s="224"/>
      <c r="I1301" s="224">
        <v>48369</v>
      </c>
      <c r="J1301" s="224"/>
      <c r="K1301" s="224"/>
    </row>
    <row r="1302" spans="1:11">
      <c r="A1302" s="23" t="s">
        <v>114</v>
      </c>
      <c r="B1302" s="23">
        <v>21</v>
      </c>
      <c r="C1302" s="23">
        <v>21</v>
      </c>
      <c r="D1302" s="224"/>
      <c r="E1302" s="224">
        <v>15000</v>
      </c>
      <c r="F1302" s="224"/>
      <c r="G1302" s="224">
        <v>4690</v>
      </c>
      <c r="H1302" s="224"/>
      <c r="I1302" s="224"/>
      <c r="J1302" s="224"/>
      <c r="K1302" s="224"/>
    </row>
    <row r="1303" spans="1:11">
      <c r="A1303" s="23" t="s">
        <v>114</v>
      </c>
      <c r="B1303" s="23">
        <v>21</v>
      </c>
      <c r="C1303" s="23">
        <v>27</v>
      </c>
      <c r="D1303" s="224"/>
      <c r="E1303" s="224">
        <v>312809</v>
      </c>
      <c r="F1303" s="224">
        <v>297886</v>
      </c>
      <c r="G1303" s="224">
        <v>383224</v>
      </c>
      <c r="H1303" s="224">
        <v>15206</v>
      </c>
      <c r="I1303" s="224">
        <v>455585</v>
      </c>
      <c r="J1303" s="224"/>
      <c r="K1303" s="224"/>
    </row>
    <row r="1304" spans="1:11">
      <c r="A1304" s="23" t="s">
        <v>114</v>
      </c>
      <c r="B1304" s="23">
        <v>21</v>
      </c>
      <c r="C1304" s="23">
        <v>32</v>
      </c>
      <c r="D1304" s="224"/>
      <c r="E1304" s="224"/>
      <c r="F1304" s="224"/>
      <c r="G1304" s="224"/>
      <c r="H1304" s="224">
        <v>2400</v>
      </c>
      <c r="I1304" s="224"/>
      <c r="J1304" s="224"/>
      <c r="K1304" s="224"/>
    </row>
    <row r="1305" spans="1:11">
      <c r="A1305" s="23" t="s">
        <v>114</v>
      </c>
      <c r="B1305" s="23">
        <v>21</v>
      </c>
      <c r="C1305" s="23">
        <v>33</v>
      </c>
      <c r="D1305" s="224"/>
      <c r="E1305" s="224"/>
      <c r="F1305" s="224"/>
      <c r="G1305" s="224"/>
      <c r="H1305" s="224">
        <v>8800</v>
      </c>
      <c r="I1305" s="224"/>
      <c r="J1305" s="224"/>
      <c r="K1305" s="224"/>
    </row>
    <row r="1306" spans="1:11">
      <c r="A1306" s="23" t="s">
        <v>114</v>
      </c>
      <c r="B1306" s="23">
        <v>21</v>
      </c>
      <c r="C1306" s="23">
        <v>34</v>
      </c>
      <c r="D1306" s="224"/>
      <c r="E1306" s="224">
        <v>4395</v>
      </c>
      <c r="F1306" s="224"/>
      <c r="G1306" s="224">
        <v>1921</v>
      </c>
      <c r="H1306" s="224"/>
      <c r="I1306" s="224"/>
      <c r="J1306" s="224"/>
      <c r="K1306" s="224"/>
    </row>
    <row r="1307" spans="1:11">
      <c r="A1307" s="23" t="s">
        <v>114</v>
      </c>
      <c r="B1307" s="23">
        <v>24</v>
      </c>
      <c r="C1307" s="23">
        <v>26</v>
      </c>
      <c r="D1307" s="224"/>
      <c r="E1307" s="224"/>
      <c r="F1307" s="224"/>
      <c r="G1307" s="224"/>
      <c r="H1307" s="224"/>
      <c r="I1307" s="224">
        <v>179173</v>
      </c>
      <c r="J1307" s="224"/>
      <c r="K1307" s="224"/>
    </row>
    <row r="1308" spans="1:11">
      <c r="A1308" s="23" t="s">
        <v>114</v>
      </c>
      <c r="B1308" s="23">
        <v>24</v>
      </c>
      <c r="C1308" s="23">
        <v>27</v>
      </c>
      <c r="D1308" s="224"/>
      <c r="E1308" s="224"/>
      <c r="F1308" s="224">
        <v>3175</v>
      </c>
      <c r="G1308" s="224">
        <v>2652</v>
      </c>
      <c r="H1308" s="224"/>
      <c r="I1308" s="224"/>
      <c r="J1308" s="224"/>
      <c r="K1308" s="224"/>
    </row>
    <row r="1309" spans="1:11">
      <c r="A1309" s="23" t="s">
        <v>116</v>
      </c>
      <c r="B1309" s="23">
        <v>21</v>
      </c>
      <c r="C1309" s="23">
        <v>21</v>
      </c>
      <c r="D1309" s="224"/>
      <c r="E1309" s="224">
        <v>7125</v>
      </c>
      <c r="F1309" s="224"/>
      <c r="G1309" s="224">
        <v>3532</v>
      </c>
      <c r="H1309" s="224"/>
      <c r="I1309" s="224"/>
      <c r="J1309" s="224"/>
      <c r="K1309" s="224"/>
    </row>
    <row r="1310" spans="1:11">
      <c r="A1310" s="23" t="s">
        <v>116</v>
      </c>
      <c r="B1310" s="23">
        <v>21</v>
      </c>
      <c r="C1310" s="23">
        <v>27</v>
      </c>
      <c r="D1310" s="224"/>
      <c r="E1310" s="224">
        <v>15711</v>
      </c>
      <c r="F1310" s="224">
        <v>13073</v>
      </c>
      <c r="G1310" s="224">
        <v>15662</v>
      </c>
      <c r="H1310" s="224">
        <v>1500</v>
      </c>
      <c r="I1310" s="224"/>
      <c r="J1310" s="224"/>
      <c r="K1310" s="224"/>
    </row>
    <row r="1311" spans="1:11">
      <c r="A1311" s="23" t="s">
        <v>116</v>
      </c>
      <c r="B1311" s="23">
        <v>24</v>
      </c>
      <c r="C1311" s="23">
        <v>26</v>
      </c>
      <c r="D1311" s="224"/>
      <c r="E1311" s="224"/>
      <c r="F1311" s="224"/>
      <c r="G1311" s="224"/>
      <c r="H1311" s="224"/>
      <c r="I1311" s="224">
        <v>1001</v>
      </c>
      <c r="J1311" s="224"/>
      <c r="K1311" s="224"/>
    </row>
    <row r="1312" spans="1:11">
      <c r="A1312" s="23" t="s">
        <v>116</v>
      </c>
      <c r="B1312" s="23">
        <v>24</v>
      </c>
      <c r="C1312" s="23">
        <v>27</v>
      </c>
      <c r="D1312" s="224"/>
      <c r="E1312" s="224"/>
      <c r="F1312" s="224">
        <v>11498</v>
      </c>
      <c r="G1312" s="224">
        <v>1115</v>
      </c>
      <c r="H1312" s="224"/>
      <c r="I1312" s="224"/>
      <c r="J1312" s="224"/>
      <c r="K1312" s="224"/>
    </row>
    <row r="1313" spans="1:11">
      <c r="A1313" s="23" t="s">
        <v>118</v>
      </c>
      <c r="B1313" s="23">
        <v>21</v>
      </c>
      <c r="C1313" s="23">
        <v>26</v>
      </c>
      <c r="D1313" s="224"/>
      <c r="E1313" s="224">
        <v>113378</v>
      </c>
      <c r="F1313" s="224"/>
      <c r="G1313" s="224">
        <v>39246</v>
      </c>
      <c r="H1313" s="224"/>
      <c r="I1313" s="224">
        <v>306468</v>
      </c>
      <c r="J1313" s="224"/>
      <c r="K1313" s="224"/>
    </row>
    <row r="1314" spans="1:11">
      <c r="A1314" s="23" t="s">
        <v>118</v>
      </c>
      <c r="B1314" s="23">
        <v>21</v>
      </c>
      <c r="C1314" s="23">
        <v>27</v>
      </c>
      <c r="D1314" s="224"/>
      <c r="E1314" s="224">
        <v>253321</v>
      </c>
      <c r="F1314" s="224">
        <v>507832</v>
      </c>
      <c r="G1314" s="224">
        <v>389184</v>
      </c>
      <c r="H1314" s="224">
        <v>11434</v>
      </c>
      <c r="I1314" s="224">
        <v>16007</v>
      </c>
      <c r="J1314" s="224">
        <v>3201</v>
      </c>
      <c r="K1314" s="224"/>
    </row>
    <row r="1315" spans="1:11">
      <c r="A1315" s="23" t="s">
        <v>118</v>
      </c>
      <c r="B1315" s="23">
        <v>21</v>
      </c>
      <c r="C1315" s="23">
        <v>31</v>
      </c>
      <c r="D1315" s="224"/>
      <c r="E1315" s="224"/>
      <c r="F1315" s="224"/>
      <c r="G1315" s="224"/>
      <c r="H1315" s="224"/>
      <c r="I1315" s="224">
        <v>43</v>
      </c>
      <c r="J1315" s="224"/>
      <c r="K1315" s="224"/>
    </row>
    <row r="1316" spans="1:11">
      <c r="A1316" s="23" t="s">
        <v>118</v>
      </c>
      <c r="B1316" s="23">
        <v>24</v>
      </c>
      <c r="C1316" s="23">
        <v>26</v>
      </c>
      <c r="D1316" s="224"/>
      <c r="E1316" s="224"/>
      <c r="F1316" s="224"/>
      <c r="G1316" s="224"/>
      <c r="H1316" s="224"/>
      <c r="I1316" s="224">
        <v>20000</v>
      </c>
      <c r="J1316" s="224"/>
      <c r="K1316" s="224"/>
    </row>
    <row r="1317" spans="1:11">
      <c r="A1317" s="23" t="s">
        <v>118</v>
      </c>
      <c r="B1317" s="23">
        <v>24</v>
      </c>
      <c r="C1317" s="23">
        <v>27</v>
      </c>
      <c r="D1317" s="224"/>
      <c r="E1317" s="224">
        <v>98342</v>
      </c>
      <c r="F1317" s="224"/>
      <c r="G1317" s="224">
        <v>35857</v>
      </c>
      <c r="H1317" s="224">
        <v>4883</v>
      </c>
      <c r="I1317" s="224"/>
      <c r="J1317" s="224"/>
      <c r="K1317" s="224"/>
    </row>
    <row r="1318" spans="1:11">
      <c r="A1318" s="23" t="s">
        <v>119</v>
      </c>
      <c r="B1318" s="23">
        <v>21</v>
      </c>
      <c r="C1318" s="23">
        <v>26</v>
      </c>
      <c r="D1318" s="224"/>
      <c r="E1318" s="224"/>
      <c r="F1318" s="224"/>
      <c r="G1318" s="224"/>
      <c r="H1318" s="224"/>
      <c r="I1318" s="224">
        <v>500</v>
      </c>
      <c r="J1318" s="224"/>
      <c r="K1318" s="224"/>
    </row>
    <row r="1319" spans="1:11">
      <c r="A1319" s="23" t="s">
        <v>119</v>
      </c>
      <c r="B1319" s="23">
        <v>21</v>
      </c>
      <c r="C1319" s="23">
        <v>27</v>
      </c>
      <c r="D1319" s="224"/>
      <c r="E1319" s="224">
        <v>58717</v>
      </c>
      <c r="F1319" s="224"/>
      <c r="G1319" s="224">
        <v>25548</v>
      </c>
      <c r="H1319" s="224"/>
      <c r="I1319" s="224"/>
      <c r="J1319" s="224"/>
      <c r="K1319" s="224"/>
    </row>
    <row r="1320" spans="1:11">
      <c r="A1320" s="23" t="s">
        <v>119</v>
      </c>
      <c r="B1320" s="23">
        <v>21</v>
      </c>
      <c r="C1320" s="23">
        <v>31</v>
      </c>
      <c r="D1320" s="224"/>
      <c r="E1320" s="224"/>
      <c r="F1320" s="224"/>
      <c r="G1320" s="224"/>
      <c r="H1320" s="224"/>
      <c r="I1320" s="224">
        <v>150</v>
      </c>
      <c r="J1320" s="224"/>
      <c r="K1320" s="224"/>
    </row>
    <row r="1321" spans="1:11">
      <c r="A1321" s="23" t="s">
        <v>119</v>
      </c>
      <c r="B1321" s="23">
        <v>24</v>
      </c>
      <c r="C1321" s="23">
        <v>27</v>
      </c>
      <c r="D1321" s="224"/>
      <c r="E1321" s="224"/>
      <c r="F1321" s="224">
        <v>24867</v>
      </c>
      <c r="G1321" s="224">
        <v>17405</v>
      </c>
      <c r="H1321" s="224"/>
      <c r="I1321" s="224"/>
      <c r="J1321" s="224"/>
      <c r="K1321" s="224"/>
    </row>
    <row r="1322" spans="1:11">
      <c r="A1322" s="23" t="s">
        <v>159</v>
      </c>
      <c r="B1322" s="23">
        <v>21</v>
      </c>
      <c r="C1322" s="23">
        <v>27</v>
      </c>
      <c r="D1322" s="224"/>
      <c r="E1322" s="224">
        <v>52047</v>
      </c>
      <c r="F1322" s="224"/>
      <c r="G1322" s="224">
        <v>24147</v>
      </c>
      <c r="H1322" s="224"/>
      <c r="I1322" s="224"/>
      <c r="J1322" s="224"/>
      <c r="K1322" s="224"/>
    </row>
    <row r="1323" spans="1:11">
      <c r="A1323" s="23" t="s">
        <v>159</v>
      </c>
      <c r="B1323" s="23">
        <v>24</v>
      </c>
      <c r="C1323" s="23">
        <v>26</v>
      </c>
      <c r="D1323" s="224"/>
      <c r="E1323" s="224"/>
      <c r="F1323" s="224"/>
      <c r="G1323" s="224"/>
      <c r="H1323" s="224"/>
      <c r="I1323" s="224">
        <v>14000</v>
      </c>
      <c r="J1323" s="224"/>
      <c r="K1323" s="224"/>
    </row>
    <row r="1324" spans="1:11">
      <c r="A1324" s="23" t="s">
        <v>163</v>
      </c>
      <c r="B1324" s="23">
        <v>21</v>
      </c>
      <c r="C1324" s="23">
        <v>21</v>
      </c>
      <c r="D1324" s="224"/>
      <c r="E1324" s="224">
        <v>55606</v>
      </c>
      <c r="F1324" s="224">
        <v>8358</v>
      </c>
      <c r="G1324" s="224">
        <v>20686</v>
      </c>
      <c r="H1324" s="224">
        <v>500</v>
      </c>
      <c r="I1324" s="224">
        <v>2500</v>
      </c>
      <c r="J1324" s="224">
        <v>1500</v>
      </c>
      <c r="K1324" s="224"/>
    </row>
    <row r="1325" spans="1:11">
      <c r="A1325" s="23" t="s">
        <v>163</v>
      </c>
      <c r="B1325" s="23">
        <v>21</v>
      </c>
      <c r="C1325" s="23">
        <v>26</v>
      </c>
      <c r="D1325" s="224"/>
      <c r="E1325" s="224">
        <v>24171</v>
      </c>
      <c r="F1325" s="224">
        <v>20114</v>
      </c>
      <c r="G1325" s="224">
        <v>23422</v>
      </c>
      <c r="H1325" s="224">
        <v>2000</v>
      </c>
      <c r="I1325" s="224">
        <v>6000</v>
      </c>
      <c r="J1325" s="224"/>
      <c r="K1325" s="224"/>
    </row>
    <row r="1326" spans="1:11">
      <c r="A1326" s="23" t="s">
        <v>163</v>
      </c>
      <c r="B1326" s="23">
        <v>21</v>
      </c>
      <c r="C1326" s="23">
        <v>27</v>
      </c>
      <c r="D1326" s="224"/>
      <c r="E1326" s="224">
        <v>201175</v>
      </c>
      <c r="F1326" s="224">
        <v>176045</v>
      </c>
      <c r="G1326" s="224">
        <v>183603</v>
      </c>
      <c r="H1326" s="224">
        <v>2000</v>
      </c>
      <c r="I1326" s="224">
        <v>121000</v>
      </c>
      <c r="J1326" s="224">
        <v>1000</v>
      </c>
      <c r="K1326" s="224"/>
    </row>
    <row r="1327" spans="1:11">
      <c r="A1327" s="23" t="s">
        <v>163</v>
      </c>
      <c r="B1327" s="23">
        <v>21</v>
      </c>
      <c r="C1327" s="23">
        <v>31</v>
      </c>
      <c r="D1327" s="224"/>
      <c r="E1327" s="224"/>
      <c r="F1327" s="224"/>
      <c r="G1327" s="224"/>
      <c r="H1327" s="224"/>
      <c r="I1327" s="224">
        <v>1000</v>
      </c>
      <c r="J1327" s="224"/>
      <c r="K1327" s="224"/>
    </row>
    <row r="1328" spans="1:11">
      <c r="A1328" s="23" t="s">
        <v>163</v>
      </c>
      <c r="B1328" s="23">
        <v>21</v>
      </c>
      <c r="C1328" s="23">
        <v>34</v>
      </c>
      <c r="D1328" s="224"/>
      <c r="E1328" s="224">
        <v>3476</v>
      </c>
      <c r="F1328" s="224"/>
      <c r="G1328" s="224">
        <v>810</v>
      </c>
      <c r="H1328" s="224"/>
      <c r="I1328" s="224"/>
      <c r="J1328" s="224"/>
      <c r="K1328" s="224"/>
    </row>
    <row r="1329" spans="1:11">
      <c r="A1329" s="23" t="s">
        <v>163</v>
      </c>
      <c r="B1329" s="23">
        <v>24</v>
      </c>
      <c r="C1329" s="23">
        <v>26</v>
      </c>
      <c r="D1329" s="224"/>
      <c r="E1329" s="224"/>
      <c r="F1329" s="224">
        <v>6173</v>
      </c>
      <c r="G1329" s="224">
        <v>4144</v>
      </c>
      <c r="H1329" s="224"/>
      <c r="I1329" s="224"/>
      <c r="J1329" s="224"/>
      <c r="K1329" s="224"/>
    </row>
    <row r="1330" spans="1:11">
      <c r="A1330" s="23" t="s">
        <v>163</v>
      </c>
      <c r="B1330" s="23">
        <v>24</v>
      </c>
      <c r="C1330" s="23">
        <v>27</v>
      </c>
      <c r="D1330" s="224"/>
      <c r="E1330" s="224">
        <v>9653</v>
      </c>
      <c r="F1330" s="224">
        <v>71262</v>
      </c>
      <c r="G1330" s="224">
        <v>56185</v>
      </c>
      <c r="H1330" s="224">
        <v>500</v>
      </c>
      <c r="I1330" s="224"/>
      <c r="J1330" s="224"/>
      <c r="K1330" s="224"/>
    </row>
    <row r="1331" spans="1:11">
      <c r="A1331" s="23" t="s">
        <v>165</v>
      </c>
      <c r="B1331" s="23">
        <v>21</v>
      </c>
      <c r="C1331" s="23">
        <v>21</v>
      </c>
      <c r="D1331" s="224"/>
      <c r="E1331" s="224">
        <v>137774</v>
      </c>
      <c r="F1331" s="224">
        <v>109595</v>
      </c>
      <c r="G1331" s="224">
        <v>85613</v>
      </c>
      <c r="H1331" s="224">
        <v>1098</v>
      </c>
      <c r="I1331" s="224">
        <v>7500</v>
      </c>
      <c r="J1331" s="224">
        <v>300</v>
      </c>
      <c r="K1331" s="224"/>
    </row>
    <row r="1332" spans="1:11">
      <c r="A1332" s="23" t="s">
        <v>165</v>
      </c>
      <c r="B1332" s="23">
        <v>21</v>
      </c>
      <c r="C1332" s="23">
        <v>26</v>
      </c>
      <c r="D1332" s="224"/>
      <c r="E1332" s="224">
        <v>440277</v>
      </c>
      <c r="F1332" s="224">
        <v>131238</v>
      </c>
      <c r="G1332" s="224">
        <v>240776</v>
      </c>
      <c r="H1332" s="224">
        <v>1500</v>
      </c>
      <c r="I1332" s="224">
        <v>267408</v>
      </c>
      <c r="J1332" s="224">
        <v>100</v>
      </c>
      <c r="K1332" s="224"/>
    </row>
    <row r="1333" spans="1:11">
      <c r="A1333" s="23" t="s">
        <v>165</v>
      </c>
      <c r="B1333" s="23">
        <v>21</v>
      </c>
      <c r="C1333" s="23">
        <v>27</v>
      </c>
      <c r="D1333" s="224">
        <v>15000</v>
      </c>
      <c r="E1333" s="224">
        <v>1895175</v>
      </c>
      <c r="F1333" s="224">
        <v>1203332</v>
      </c>
      <c r="G1333" s="224">
        <v>1421545</v>
      </c>
      <c r="H1333" s="224">
        <v>24222</v>
      </c>
      <c r="I1333" s="224">
        <v>1073117</v>
      </c>
      <c r="J1333" s="224"/>
      <c r="K1333" s="224"/>
    </row>
    <row r="1334" spans="1:11">
      <c r="A1334" s="23" t="s">
        <v>165</v>
      </c>
      <c r="B1334" s="23">
        <v>21</v>
      </c>
      <c r="C1334" s="23">
        <v>31</v>
      </c>
      <c r="D1334" s="224"/>
      <c r="E1334" s="224"/>
      <c r="F1334" s="224"/>
      <c r="G1334" s="224"/>
      <c r="H1334" s="224"/>
      <c r="I1334" s="224">
        <v>2000</v>
      </c>
      <c r="J1334" s="224">
        <v>250</v>
      </c>
      <c r="K1334" s="224"/>
    </row>
    <row r="1335" spans="1:11">
      <c r="A1335" s="23" t="s">
        <v>165</v>
      </c>
      <c r="B1335" s="23">
        <v>21</v>
      </c>
      <c r="C1335" s="23">
        <v>34</v>
      </c>
      <c r="D1335" s="224"/>
      <c r="E1335" s="224">
        <v>48501</v>
      </c>
      <c r="F1335" s="224"/>
      <c r="G1335" s="224">
        <v>11224</v>
      </c>
      <c r="H1335" s="224"/>
      <c r="I1335" s="224"/>
      <c r="J1335" s="224"/>
      <c r="K1335" s="224"/>
    </row>
    <row r="1336" spans="1:11">
      <c r="A1336" s="23" t="s">
        <v>165</v>
      </c>
      <c r="B1336" s="23">
        <v>24</v>
      </c>
      <c r="C1336" s="23">
        <v>26</v>
      </c>
      <c r="D1336" s="224"/>
      <c r="E1336" s="224">
        <v>109331</v>
      </c>
      <c r="F1336" s="224"/>
      <c r="G1336" s="224">
        <v>37360</v>
      </c>
      <c r="H1336" s="224"/>
      <c r="I1336" s="224">
        <v>179644</v>
      </c>
      <c r="J1336" s="224"/>
      <c r="K1336" s="224"/>
    </row>
    <row r="1337" spans="1:11">
      <c r="A1337" s="23" t="s">
        <v>165</v>
      </c>
      <c r="B1337" s="23">
        <v>24</v>
      </c>
      <c r="C1337" s="23">
        <v>27</v>
      </c>
      <c r="D1337" s="224"/>
      <c r="E1337" s="224"/>
      <c r="F1337" s="224"/>
      <c r="G1337" s="224"/>
      <c r="H1337" s="224"/>
      <c r="I1337" s="224">
        <v>93854</v>
      </c>
      <c r="J1337" s="224"/>
      <c r="K1337" s="224"/>
    </row>
    <row r="1338" spans="1:11">
      <c r="A1338" s="23" t="s">
        <v>165</v>
      </c>
      <c r="B1338" s="23">
        <v>24</v>
      </c>
      <c r="C1338" s="23">
        <v>31</v>
      </c>
      <c r="D1338" s="224"/>
      <c r="E1338" s="224">
        <v>2363</v>
      </c>
      <c r="F1338" s="224"/>
      <c r="G1338" s="224">
        <v>542</v>
      </c>
      <c r="H1338" s="224"/>
      <c r="I1338" s="224"/>
      <c r="J1338" s="224"/>
      <c r="K1338" s="224"/>
    </row>
    <row r="1339" spans="1:11">
      <c r="A1339" s="23" t="s">
        <v>167</v>
      </c>
      <c r="B1339" s="23">
        <v>21</v>
      </c>
      <c r="C1339" s="23">
        <v>21</v>
      </c>
      <c r="D1339" s="224">
        <v>2000</v>
      </c>
      <c r="E1339" s="224">
        <v>130618</v>
      </c>
      <c r="F1339" s="224">
        <v>96797</v>
      </c>
      <c r="G1339" s="224">
        <v>87307</v>
      </c>
      <c r="H1339" s="224">
        <v>10300</v>
      </c>
      <c r="I1339" s="224">
        <v>1111904</v>
      </c>
      <c r="J1339" s="224">
        <v>1800</v>
      </c>
      <c r="K1339" s="224"/>
    </row>
    <row r="1340" spans="1:11">
      <c r="A1340" s="23" t="s">
        <v>167</v>
      </c>
      <c r="B1340" s="23">
        <v>21</v>
      </c>
      <c r="C1340" s="23">
        <v>25</v>
      </c>
      <c r="D1340" s="224"/>
      <c r="E1340" s="224"/>
      <c r="F1340" s="224">
        <v>79285</v>
      </c>
      <c r="G1340" s="224">
        <v>57203</v>
      </c>
      <c r="H1340" s="224">
        <v>4000</v>
      </c>
      <c r="I1340" s="224"/>
      <c r="J1340" s="224"/>
      <c r="K1340" s="224"/>
    </row>
    <row r="1341" spans="1:11">
      <c r="A1341" s="23" t="s">
        <v>167</v>
      </c>
      <c r="B1341" s="23">
        <v>21</v>
      </c>
      <c r="C1341" s="23">
        <v>26</v>
      </c>
      <c r="D1341" s="224"/>
      <c r="E1341" s="224">
        <v>862924</v>
      </c>
      <c r="F1341" s="224">
        <v>119610</v>
      </c>
      <c r="G1341" s="224">
        <v>390395</v>
      </c>
      <c r="H1341" s="224">
        <v>39466</v>
      </c>
      <c r="I1341" s="224">
        <v>382755</v>
      </c>
      <c r="J1341" s="224">
        <v>13000</v>
      </c>
      <c r="K1341" s="224"/>
    </row>
    <row r="1342" spans="1:11">
      <c r="A1342" s="23" t="s">
        <v>167</v>
      </c>
      <c r="B1342" s="23">
        <v>21</v>
      </c>
      <c r="C1342" s="23">
        <v>27</v>
      </c>
      <c r="D1342" s="224">
        <v>2500</v>
      </c>
      <c r="E1342" s="224">
        <v>1868835</v>
      </c>
      <c r="F1342" s="224">
        <v>484451</v>
      </c>
      <c r="G1342" s="224">
        <v>1030682</v>
      </c>
      <c r="H1342" s="224">
        <v>44600</v>
      </c>
      <c r="I1342" s="224">
        <v>136500</v>
      </c>
      <c r="J1342" s="224">
        <v>50</v>
      </c>
      <c r="K1342" s="224"/>
    </row>
    <row r="1343" spans="1:11">
      <c r="A1343" s="23" t="s">
        <v>167</v>
      </c>
      <c r="B1343" s="23">
        <v>21</v>
      </c>
      <c r="C1343" s="23">
        <v>28</v>
      </c>
      <c r="D1343" s="224"/>
      <c r="E1343" s="224"/>
      <c r="F1343" s="224">
        <v>4680</v>
      </c>
      <c r="G1343" s="224">
        <v>739</v>
      </c>
      <c r="H1343" s="224"/>
      <c r="I1343" s="224">
        <v>1000</v>
      </c>
      <c r="J1343" s="224">
        <v>750</v>
      </c>
      <c r="K1343" s="224"/>
    </row>
    <row r="1344" spans="1:11">
      <c r="A1344" s="23" t="s">
        <v>167</v>
      </c>
      <c r="B1344" s="23">
        <v>21</v>
      </c>
      <c r="C1344" s="23">
        <v>31</v>
      </c>
      <c r="D1344" s="224">
        <v>100</v>
      </c>
      <c r="E1344" s="224">
        <v>23613</v>
      </c>
      <c r="F1344" s="224"/>
      <c r="G1344" s="224">
        <v>5313</v>
      </c>
      <c r="H1344" s="224">
        <v>200</v>
      </c>
      <c r="I1344" s="224">
        <v>10200</v>
      </c>
      <c r="J1344" s="224">
        <v>100</v>
      </c>
      <c r="K1344" s="224"/>
    </row>
    <row r="1345" spans="1:11">
      <c r="A1345" s="23" t="s">
        <v>167</v>
      </c>
      <c r="B1345" s="23">
        <v>21</v>
      </c>
      <c r="C1345" s="23">
        <v>32</v>
      </c>
      <c r="D1345" s="224"/>
      <c r="E1345" s="224"/>
      <c r="F1345" s="224"/>
      <c r="G1345" s="224"/>
      <c r="H1345" s="224">
        <v>2750</v>
      </c>
      <c r="I1345" s="224"/>
      <c r="J1345" s="224"/>
      <c r="K1345" s="224"/>
    </row>
    <row r="1346" spans="1:11">
      <c r="A1346" s="23" t="s">
        <v>167</v>
      </c>
      <c r="B1346" s="23">
        <v>21</v>
      </c>
      <c r="C1346" s="23">
        <v>33</v>
      </c>
      <c r="D1346" s="224"/>
      <c r="E1346" s="224"/>
      <c r="F1346" s="224"/>
      <c r="G1346" s="224"/>
      <c r="H1346" s="224">
        <v>100</v>
      </c>
      <c r="I1346" s="224">
        <v>400</v>
      </c>
      <c r="J1346" s="224"/>
      <c r="K1346" s="224"/>
    </row>
    <row r="1347" spans="1:11">
      <c r="A1347" s="23" t="s">
        <v>167</v>
      </c>
      <c r="B1347" s="23">
        <v>21</v>
      </c>
      <c r="C1347" s="23">
        <v>34</v>
      </c>
      <c r="D1347" s="224"/>
      <c r="E1347" s="224">
        <v>35421</v>
      </c>
      <c r="F1347" s="224"/>
      <c r="G1347" s="224">
        <v>7970</v>
      </c>
      <c r="H1347" s="224"/>
      <c r="I1347" s="224"/>
      <c r="J1347" s="224"/>
      <c r="K1347" s="224"/>
    </row>
    <row r="1348" spans="1:11">
      <c r="A1348" s="23" t="s">
        <v>167</v>
      </c>
      <c r="B1348" s="23">
        <v>23</v>
      </c>
      <c r="C1348" s="23">
        <v>21</v>
      </c>
      <c r="D1348" s="224"/>
      <c r="E1348" s="224"/>
      <c r="F1348" s="224"/>
      <c r="G1348" s="224"/>
      <c r="H1348" s="224"/>
      <c r="I1348" s="224">
        <v>13080</v>
      </c>
      <c r="J1348" s="224"/>
      <c r="K1348" s="224"/>
    </row>
    <row r="1349" spans="1:11">
      <c r="A1349" s="23" t="s">
        <v>167</v>
      </c>
      <c r="B1349" s="23">
        <v>23</v>
      </c>
      <c r="C1349" s="23">
        <v>26</v>
      </c>
      <c r="D1349" s="224"/>
      <c r="E1349" s="224"/>
      <c r="F1349" s="224"/>
      <c r="G1349" s="224"/>
      <c r="H1349" s="224">
        <v>16678</v>
      </c>
      <c r="I1349" s="224"/>
      <c r="J1349" s="224"/>
      <c r="K1349" s="224"/>
    </row>
    <row r="1350" spans="1:11">
      <c r="A1350" s="23" t="s">
        <v>167</v>
      </c>
      <c r="B1350" s="23">
        <v>23</v>
      </c>
      <c r="C1350" s="23">
        <v>27</v>
      </c>
      <c r="D1350" s="224"/>
      <c r="E1350" s="224"/>
      <c r="F1350" s="224">
        <v>56219</v>
      </c>
      <c r="G1350" s="224">
        <v>38213</v>
      </c>
      <c r="H1350" s="224"/>
      <c r="I1350" s="224"/>
      <c r="J1350" s="224"/>
      <c r="K1350" s="224"/>
    </row>
    <row r="1351" spans="1:11">
      <c r="A1351" s="23" t="s">
        <v>167</v>
      </c>
      <c r="B1351" s="23">
        <v>23</v>
      </c>
      <c r="C1351" s="23">
        <v>31</v>
      </c>
      <c r="D1351" s="224"/>
      <c r="E1351" s="224"/>
      <c r="F1351" s="224"/>
      <c r="G1351" s="224"/>
      <c r="H1351" s="224"/>
      <c r="I1351" s="224">
        <v>38915</v>
      </c>
      <c r="J1351" s="224"/>
      <c r="K1351" s="224"/>
    </row>
    <row r="1352" spans="1:11">
      <c r="A1352" s="23" t="s">
        <v>167</v>
      </c>
      <c r="B1352" s="23">
        <v>23</v>
      </c>
      <c r="C1352" s="23">
        <v>32</v>
      </c>
      <c r="D1352" s="224"/>
      <c r="E1352" s="224"/>
      <c r="F1352" s="224"/>
      <c r="G1352" s="224"/>
      <c r="H1352" s="224">
        <v>36895</v>
      </c>
      <c r="I1352" s="224"/>
      <c r="J1352" s="224"/>
      <c r="K1352" s="224"/>
    </row>
    <row r="1353" spans="1:11">
      <c r="A1353" s="23" t="s">
        <v>167</v>
      </c>
      <c r="B1353" s="23">
        <v>24</v>
      </c>
      <c r="C1353" s="23">
        <v>21</v>
      </c>
      <c r="D1353" s="224"/>
      <c r="E1353" s="224"/>
      <c r="F1353" s="224"/>
      <c r="G1353" s="224"/>
      <c r="H1353" s="224"/>
      <c r="I1353" s="224">
        <v>78328</v>
      </c>
      <c r="J1353" s="224"/>
      <c r="K1353" s="224"/>
    </row>
    <row r="1354" spans="1:11">
      <c r="A1354" s="23" t="s">
        <v>167</v>
      </c>
      <c r="B1354" s="23">
        <v>24</v>
      </c>
      <c r="C1354" s="23">
        <v>26</v>
      </c>
      <c r="D1354" s="224"/>
      <c r="E1354" s="224"/>
      <c r="F1354" s="224">
        <v>12309</v>
      </c>
      <c r="G1354" s="224">
        <v>6863</v>
      </c>
      <c r="H1354" s="224"/>
      <c r="I1354" s="224"/>
      <c r="J1354" s="224"/>
      <c r="K1354" s="224"/>
    </row>
    <row r="1355" spans="1:11">
      <c r="A1355" s="23" t="s">
        <v>167</v>
      </c>
      <c r="B1355" s="23">
        <v>24</v>
      </c>
      <c r="C1355" s="23">
        <v>27</v>
      </c>
      <c r="D1355" s="224"/>
      <c r="E1355" s="224"/>
      <c r="F1355" s="224">
        <v>594054</v>
      </c>
      <c r="G1355" s="224">
        <v>376861</v>
      </c>
      <c r="H1355" s="224"/>
      <c r="I1355" s="224"/>
      <c r="J1355" s="224"/>
      <c r="K1355" s="224"/>
    </row>
    <row r="1356" spans="1:11">
      <c r="A1356" s="23" t="s">
        <v>169</v>
      </c>
      <c r="B1356" s="23">
        <v>21</v>
      </c>
      <c r="C1356" s="23">
        <v>26</v>
      </c>
      <c r="D1356" s="224"/>
      <c r="E1356" s="224"/>
      <c r="F1356" s="224"/>
      <c r="G1356" s="224"/>
      <c r="H1356" s="224">
        <v>216</v>
      </c>
      <c r="I1356" s="224">
        <v>9241</v>
      </c>
      <c r="J1356" s="224">
        <v>200</v>
      </c>
      <c r="K1356" s="224"/>
    </row>
    <row r="1357" spans="1:11">
      <c r="A1357" s="23" t="s">
        <v>169</v>
      </c>
      <c r="B1357" s="23">
        <v>21</v>
      </c>
      <c r="C1357" s="23">
        <v>27</v>
      </c>
      <c r="D1357" s="224"/>
      <c r="E1357" s="224">
        <v>9455</v>
      </c>
      <c r="F1357" s="224"/>
      <c r="G1357" s="224">
        <v>4158</v>
      </c>
      <c r="H1357" s="224">
        <v>900</v>
      </c>
      <c r="I1357" s="224">
        <v>2374</v>
      </c>
      <c r="J1357" s="224">
        <v>200</v>
      </c>
      <c r="K1357" s="224"/>
    </row>
    <row r="1358" spans="1:11">
      <c r="A1358" s="23" t="s">
        <v>169</v>
      </c>
      <c r="B1358" s="23">
        <v>24</v>
      </c>
      <c r="C1358" s="23">
        <v>26</v>
      </c>
      <c r="D1358" s="224"/>
      <c r="E1358" s="224"/>
      <c r="F1358" s="224"/>
      <c r="G1358" s="224"/>
      <c r="H1358" s="224">
        <v>500</v>
      </c>
      <c r="I1358" s="224">
        <v>9981</v>
      </c>
      <c r="J1358" s="224">
        <v>400</v>
      </c>
      <c r="K1358" s="224"/>
    </row>
    <row r="1359" spans="1:11">
      <c r="A1359" s="23" t="s">
        <v>0</v>
      </c>
      <c r="B1359" s="23">
        <v>21</v>
      </c>
      <c r="C1359" s="23">
        <v>27</v>
      </c>
      <c r="D1359" s="224"/>
      <c r="E1359" s="224">
        <v>87772</v>
      </c>
      <c r="F1359" s="224">
        <v>85951</v>
      </c>
      <c r="G1359" s="224">
        <v>99563</v>
      </c>
      <c r="H1359" s="224">
        <v>3000</v>
      </c>
      <c r="I1359" s="224">
        <v>5000</v>
      </c>
      <c r="J1359" s="224">
        <v>200</v>
      </c>
      <c r="K1359" s="224"/>
    </row>
    <row r="1360" spans="1:11">
      <c r="A1360" s="23" t="s">
        <v>0</v>
      </c>
      <c r="B1360" s="23">
        <v>21</v>
      </c>
      <c r="C1360" s="23">
        <v>31</v>
      </c>
      <c r="D1360" s="224"/>
      <c r="E1360" s="224"/>
      <c r="F1360" s="224"/>
      <c r="G1360" s="224"/>
      <c r="H1360" s="224"/>
      <c r="I1360" s="224">
        <v>200</v>
      </c>
      <c r="J1360" s="224"/>
      <c r="K1360" s="224"/>
    </row>
    <row r="1361" spans="1:11">
      <c r="A1361" s="23" t="s">
        <v>0</v>
      </c>
      <c r="B1361" s="23">
        <v>24</v>
      </c>
      <c r="C1361" s="23">
        <v>26</v>
      </c>
      <c r="D1361" s="224"/>
      <c r="E1361" s="224"/>
      <c r="F1361" s="224"/>
      <c r="G1361" s="224"/>
      <c r="H1361" s="224"/>
      <c r="I1361" s="224">
        <v>58000</v>
      </c>
      <c r="J1361" s="224"/>
      <c r="K1361" s="224"/>
    </row>
    <row r="1362" spans="1:11">
      <c r="A1362" s="23" t="s">
        <v>2</v>
      </c>
      <c r="B1362" s="23">
        <v>21</v>
      </c>
      <c r="C1362" s="23">
        <v>21</v>
      </c>
      <c r="D1362" s="224"/>
      <c r="E1362" s="224">
        <v>629577</v>
      </c>
      <c r="F1362" s="224">
        <v>272867</v>
      </c>
      <c r="G1362" s="224">
        <v>354968</v>
      </c>
      <c r="H1362" s="224">
        <v>34854</v>
      </c>
      <c r="I1362" s="224">
        <v>8000</v>
      </c>
      <c r="J1362" s="224">
        <v>4000</v>
      </c>
      <c r="K1362" s="224"/>
    </row>
    <row r="1363" spans="1:11">
      <c r="A1363" s="23" t="s">
        <v>2</v>
      </c>
      <c r="B1363" s="23">
        <v>21</v>
      </c>
      <c r="C1363" s="23">
        <v>25</v>
      </c>
      <c r="D1363" s="224"/>
      <c r="E1363" s="224"/>
      <c r="F1363" s="224">
        <v>957426</v>
      </c>
      <c r="G1363" s="224">
        <v>583889</v>
      </c>
      <c r="H1363" s="224"/>
      <c r="I1363" s="224"/>
      <c r="J1363" s="224"/>
      <c r="K1363" s="224"/>
    </row>
    <row r="1364" spans="1:11">
      <c r="A1364" s="23" t="s">
        <v>2</v>
      </c>
      <c r="B1364" s="23">
        <v>21</v>
      </c>
      <c r="C1364" s="23">
        <v>26</v>
      </c>
      <c r="D1364" s="224"/>
      <c r="E1364" s="224">
        <v>3617058</v>
      </c>
      <c r="F1364" s="224">
        <v>383283</v>
      </c>
      <c r="G1364" s="224">
        <v>1636438</v>
      </c>
      <c r="H1364" s="224">
        <v>72800</v>
      </c>
      <c r="I1364" s="224">
        <v>420000</v>
      </c>
      <c r="J1364" s="224">
        <v>19400</v>
      </c>
      <c r="K1364" s="224"/>
    </row>
    <row r="1365" spans="1:11">
      <c r="A1365" s="23" t="s">
        <v>2</v>
      </c>
      <c r="B1365" s="23">
        <v>21</v>
      </c>
      <c r="C1365" s="23">
        <v>27</v>
      </c>
      <c r="D1365" s="224"/>
      <c r="E1365" s="224">
        <v>10132063</v>
      </c>
      <c r="F1365" s="224">
        <v>3724255</v>
      </c>
      <c r="G1365" s="224">
        <v>6712507</v>
      </c>
      <c r="H1365" s="224">
        <v>363752</v>
      </c>
      <c r="I1365" s="224">
        <v>296170</v>
      </c>
      <c r="J1365" s="224">
        <v>17000</v>
      </c>
      <c r="K1365" s="224"/>
    </row>
    <row r="1366" spans="1:11">
      <c r="A1366" s="23" t="s">
        <v>2</v>
      </c>
      <c r="B1366" s="23">
        <v>21</v>
      </c>
      <c r="C1366" s="23">
        <v>31</v>
      </c>
      <c r="D1366" s="224"/>
      <c r="E1366" s="224">
        <v>50000</v>
      </c>
      <c r="F1366" s="224">
        <v>25000</v>
      </c>
      <c r="G1366" s="224">
        <v>6826</v>
      </c>
      <c r="H1366" s="224"/>
      <c r="I1366" s="224">
        <v>10000</v>
      </c>
      <c r="J1366" s="224">
        <v>5000</v>
      </c>
      <c r="K1366" s="224"/>
    </row>
    <row r="1367" spans="1:11">
      <c r="A1367" s="23" t="s">
        <v>2</v>
      </c>
      <c r="B1367" s="23">
        <v>23</v>
      </c>
      <c r="C1367" s="23">
        <v>27</v>
      </c>
      <c r="D1367" s="224"/>
      <c r="E1367" s="224">
        <v>395000</v>
      </c>
      <c r="F1367" s="224"/>
      <c r="G1367" s="224">
        <v>43846</v>
      </c>
      <c r="H1367" s="224">
        <v>169090</v>
      </c>
      <c r="I1367" s="224">
        <v>86597</v>
      </c>
      <c r="J1367" s="224"/>
      <c r="K1367" s="224"/>
    </row>
    <row r="1368" spans="1:11">
      <c r="A1368" s="23" t="s">
        <v>2</v>
      </c>
      <c r="B1368" s="23">
        <v>23</v>
      </c>
      <c r="C1368" s="23">
        <v>31</v>
      </c>
      <c r="D1368" s="224"/>
      <c r="E1368" s="224"/>
      <c r="F1368" s="224"/>
      <c r="G1368" s="224"/>
      <c r="H1368" s="224">
        <v>42790</v>
      </c>
      <c r="I1368" s="224">
        <v>70500</v>
      </c>
      <c r="J1368" s="224"/>
      <c r="K1368" s="224"/>
    </row>
    <row r="1369" spans="1:11">
      <c r="A1369" s="23" t="s">
        <v>2</v>
      </c>
      <c r="B1369" s="23">
        <v>24</v>
      </c>
      <c r="C1369" s="23">
        <v>21</v>
      </c>
      <c r="D1369" s="224"/>
      <c r="E1369" s="224"/>
      <c r="F1369" s="224"/>
      <c r="G1369" s="224"/>
      <c r="H1369" s="224"/>
      <c r="I1369" s="224">
        <v>25500</v>
      </c>
      <c r="J1369" s="224"/>
      <c r="K1369" s="224"/>
    </row>
    <row r="1370" spans="1:11">
      <c r="A1370" s="23" t="s">
        <v>2</v>
      </c>
      <c r="B1370" s="23">
        <v>24</v>
      </c>
      <c r="C1370" s="23">
        <v>27</v>
      </c>
      <c r="D1370" s="224"/>
      <c r="E1370" s="224">
        <v>826934</v>
      </c>
      <c r="F1370" s="224">
        <v>1005389</v>
      </c>
      <c r="G1370" s="224">
        <v>969205</v>
      </c>
      <c r="H1370" s="224">
        <v>169165</v>
      </c>
      <c r="I1370" s="224"/>
      <c r="J1370" s="224"/>
      <c r="K1370" s="224"/>
    </row>
    <row r="1371" spans="1:11">
      <c r="A1371" s="23" t="s">
        <v>2</v>
      </c>
      <c r="B1371" s="23">
        <v>24</v>
      </c>
      <c r="C1371" s="23">
        <v>31</v>
      </c>
      <c r="D1371" s="224"/>
      <c r="E1371" s="224"/>
      <c r="F1371" s="224"/>
      <c r="G1371" s="224"/>
      <c r="H1371" s="224"/>
      <c r="I1371" s="224">
        <v>200000</v>
      </c>
      <c r="J1371" s="224"/>
      <c r="K1371" s="224"/>
    </row>
    <row r="1372" spans="1:11">
      <c r="A1372" s="23" t="s">
        <v>388</v>
      </c>
      <c r="B1372" s="23">
        <v>21</v>
      </c>
      <c r="C1372" s="23">
        <v>21</v>
      </c>
      <c r="D1372" s="224"/>
      <c r="E1372" s="224">
        <v>9000</v>
      </c>
      <c r="F1372" s="224"/>
      <c r="G1372" s="224">
        <v>2078</v>
      </c>
      <c r="H1372" s="224"/>
      <c r="I1372" s="224"/>
      <c r="J1372" s="224">
        <v>300</v>
      </c>
      <c r="K1372" s="224"/>
    </row>
    <row r="1373" spans="1:11">
      <c r="A1373" s="23" t="s">
        <v>388</v>
      </c>
      <c r="B1373" s="23">
        <v>21</v>
      </c>
      <c r="C1373" s="23">
        <v>26</v>
      </c>
      <c r="D1373" s="224"/>
      <c r="E1373" s="224">
        <v>84477</v>
      </c>
      <c r="F1373" s="224"/>
      <c r="G1373" s="224">
        <v>31830</v>
      </c>
      <c r="H1373" s="224">
        <v>500</v>
      </c>
      <c r="I1373" s="224">
        <v>26500</v>
      </c>
      <c r="J1373" s="224">
        <v>650</v>
      </c>
      <c r="K1373" s="224"/>
    </row>
    <row r="1374" spans="1:11">
      <c r="A1374" s="23" t="s">
        <v>388</v>
      </c>
      <c r="B1374" s="23">
        <v>21</v>
      </c>
      <c r="C1374" s="23">
        <v>27</v>
      </c>
      <c r="D1374" s="224"/>
      <c r="E1374" s="224">
        <v>74868</v>
      </c>
      <c r="F1374" s="224">
        <v>162997</v>
      </c>
      <c r="G1374" s="224">
        <v>140146</v>
      </c>
      <c r="H1374" s="224">
        <v>2200</v>
      </c>
      <c r="I1374" s="224">
        <v>40200</v>
      </c>
      <c r="J1374" s="224">
        <v>200</v>
      </c>
      <c r="K1374" s="224"/>
    </row>
    <row r="1375" spans="1:11">
      <c r="A1375" s="23" t="s">
        <v>388</v>
      </c>
      <c r="B1375" s="23">
        <v>21</v>
      </c>
      <c r="C1375" s="23">
        <v>31</v>
      </c>
      <c r="D1375" s="224"/>
      <c r="E1375" s="224"/>
      <c r="F1375" s="224">
        <v>2300</v>
      </c>
      <c r="G1375" s="224">
        <v>499</v>
      </c>
      <c r="H1375" s="224"/>
      <c r="I1375" s="224">
        <v>1000</v>
      </c>
      <c r="J1375" s="224"/>
      <c r="K1375" s="224"/>
    </row>
    <row r="1376" spans="1:11">
      <c r="A1376" s="23" t="s">
        <v>388</v>
      </c>
      <c r="B1376" s="23">
        <v>21</v>
      </c>
      <c r="C1376" s="23">
        <v>34</v>
      </c>
      <c r="D1376" s="224"/>
      <c r="E1376" s="224">
        <v>4000</v>
      </c>
      <c r="F1376" s="224"/>
      <c r="G1376" s="224">
        <v>927</v>
      </c>
      <c r="H1376" s="224"/>
      <c r="I1376" s="224"/>
      <c r="J1376" s="224"/>
      <c r="K1376" s="224"/>
    </row>
    <row r="1377" spans="1:11">
      <c r="A1377" s="23" t="s">
        <v>388</v>
      </c>
      <c r="B1377" s="23">
        <v>24</v>
      </c>
      <c r="C1377" s="23">
        <v>26</v>
      </c>
      <c r="D1377" s="224"/>
      <c r="E1377" s="224"/>
      <c r="F1377" s="224"/>
      <c r="G1377" s="224"/>
      <c r="H1377" s="224">
        <v>1071</v>
      </c>
      <c r="I1377" s="224">
        <v>54050</v>
      </c>
      <c r="J1377" s="224"/>
      <c r="K1377" s="224"/>
    </row>
    <row r="1378" spans="1:11">
      <c r="A1378" s="23" t="s">
        <v>391</v>
      </c>
      <c r="B1378" s="23">
        <v>21</v>
      </c>
      <c r="C1378" s="23">
        <v>21</v>
      </c>
      <c r="D1378" s="224"/>
      <c r="E1378" s="224">
        <v>19500</v>
      </c>
      <c r="F1378" s="224"/>
      <c r="G1378" s="224">
        <v>6094</v>
      </c>
      <c r="H1378" s="224"/>
      <c r="I1378" s="224"/>
      <c r="J1378" s="224"/>
      <c r="K1378" s="224"/>
    </row>
    <row r="1379" spans="1:11">
      <c r="A1379" s="23" t="s">
        <v>391</v>
      </c>
      <c r="B1379" s="23">
        <v>21</v>
      </c>
      <c r="C1379" s="23">
        <v>27</v>
      </c>
      <c r="D1379" s="224"/>
      <c r="E1379" s="224">
        <v>49510</v>
      </c>
      <c r="F1379" s="224"/>
      <c r="G1379" s="224">
        <v>32800</v>
      </c>
      <c r="H1379" s="224"/>
      <c r="I1379" s="224">
        <v>25000</v>
      </c>
      <c r="J1379" s="224"/>
      <c r="K1379" s="224"/>
    </row>
    <row r="1380" spans="1:11">
      <c r="A1380" s="23" t="s">
        <v>391</v>
      </c>
      <c r="B1380" s="23">
        <v>24</v>
      </c>
      <c r="C1380" s="23">
        <v>26</v>
      </c>
      <c r="D1380" s="224"/>
      <c r="E1380" s="224"/>
      <c r="F1380" s="224"/>
      <c r="G1380" s="224"/>
      <c r="H1380" s="224"/>
      <c r="I1380" s="224">
        <v>75000</v>
      </c>
      <c r="J1380" s="224">
        <v>8500</v>
      </c>
      <c r="K1380" s="224"/>
    </row>
    <row r="1381" spans="1:11">
      <c r="A1381" s="23" t="s">
        <v>391</v>
      </c>
      <c r="B1381" s="23">
        <v>24</v>
      </c>
      <c r="C1381" s="23">
        <v>27</v>
      </c>
      <c r="D1381" s="224"/>
      <c r="E1381" s="224"/>
      <c r="F1381" s="224"/>
      <c r="G1381" s="224"/>
      <c r="H1381" s="224">
        <v>2000</v>
      </c>
      <c r="I1381" s="224"/>
      <c r="J1381" s="224"/>
      <c r="K1381" s="224"/>
    </row>
    <row r="1382" spans="1:11">
      <c r="A1382" s="23" t="s">
        <v>393</v>
      </c>
      <c r="B1382" s="23">
        <v>21</v>
      </c>
      <c r="C1382" s="23">
        <v>27</v>
      </c>
      <c r="D1382" s="224"/>
      <c r="E1382" s="224">
        <v>93659</v>
      </c>
      <c r="F1382" s="224">
        <v>159528</v>
      </c>
      <c r="G1382" s="224">
        <v>105241</v>
      </c>
      <c r="H1382" s="224">
        <v>27500</v>
      </c>
      <c r="I1382" s="224">
        <v>118000</v>
      </c>
      <c r="J1382" s="224"/>
      <c r="K1382" s="224"/>
    </row>
    <row r="1383" spans="1:11">
      <c r="A1383" s="23" t="s">
        <v>393</v>
      </c>
      <c r="B1383" s="23">
        <v>21</v>
      </c>
      <c r="C1383" s="23">
        <v>29</v>
      </c>
      <c r="D1383" s="224"/>
      <c r="E1383" s="224"/>
      <c r="F1383" s="224"/>
      <c r="G1383" s="224"/>
      <c r="H1383" s="224"/>
      <c r="I1383" s="224">
        <v>25000</v>
      </c>
      <c r="J1383" s="224"/>
      <c r="K1383" s="224"/>
    </row>
    <row r="1384" spans="1:11">
      <c r="A1384" s="23" t="s">
        <v>393</v>
      </c>
      <c r="B1384" s="23">
        <v>21</v>
      </c>
      <c r="C1384" s="23">
        <v>32</v>
      </c>
      <c r="D1384" s="224"/>
      <c r="E1384" s="224"/>
      <c r="F1384" s="224"/>
      <c r="G1384" s="224"/>
      <c r="H1384" s="224">
        <v>4500</v>
      </c>
      <c r="I1384" s="224"/>
      <c r="J1384" s="224"/>
      <c r="K1384" s="224"/>
    </row>
    <row r="1385" spans="1:11">
      <c r="A1385" s="23" t="s">
        <v>393</v>
      </c>
      <c r="B1385" s="23">
        <v>21</v>
      </c>
      <c r="C1385" s="23">
        <v>33</v>
      </c>
      <c r="D1385" s="224"/>
      <c r="E1385" s="224"/>
      <c r="F1385" s="224"/>
      <c r="G1385" s="224"/>
      <c r="H1385" s="224">
        <v>4500</v>
      </c>
      <c r="I1385" s="224"/>
      <c r="J1385" s="224"/>
      <c r="K1385" s="224"/>
    </row>
    <row r="1386" spans="1:11">
      <c r="A1386" s="23" t="s">
        <v>393</v>
      </c>
      <c r="B1386" s="23">
        <v>24</v>
      </c>
      <c r="C1386" s="23">
        <v>26</v>
      </c>
      <c r="D1386" s="224"/>
      <c r="E1386" s="224"/>
      <c r="F1386" s="224"/>
      <c r="G1386" s="224"/>
      <c r="H1386" s="224"/>
      <c r="I1386" s="224">
        <v>59466</v>
      </c>
      <c r="J1386" s="224"/>
      <c r="K1386" s="224"/>
    </row>
    <row r="1387" spans="1:11">
      <c r="A1387" s="23" t="s">
        <v>393</v>
      </c>
      <c r="B1387" s="23">
        <v>24</v>
      </c>
      <c r="C1387" s="23">
        <v>27</v>
      </c>
      <c r="D1387" s="224"/>
      <c r="E1387" s="224"/>
      <c r="F1387" s="224">
        <v>2462</v>
      </c>
      <c r="G1387" s="224">
        <v>1383</v>
      </c>
      <c r="H1387" s="224"/>
      <c r="I1387" s="224"/>
      <c r="J1387" s="224"/>
      <c r="K1387" s="224"/>
    </row>
    <row r="1388" spans="1:11">
      <c r="A1388" s="23" t="s">
        <v>395</v>
      </c>
      <c r="B1388" s="23">
        <v>21</v>
      </c>
      <c r="C1388" s="23">
        <v>21</v>
      </c>
      <c r="D1388" s="224"/>
      <c r="E1388" s="224">
        <v>539312</v>
      </c>
      <c r="F1388" s="224">
        <v>128910</v>
      </c>
      <c r="G1388" s="224">
        <v>221206</v>
      </c>
      <c r="H1388" s="224"/>
      <c r="I1388" s="224"/>
      <c r="J1388" s="224"/>
      <c r="K1388" s="224"/>
    </row>
    <row r="1389" spans="1:11">
      <c r="A1389" s="23" t="s">
        <v>395</v>
      </c>
      <c r="B1389" s="23">
        <v>21</v>
      </c>
      <c r="C1389" s="23">
        <v>25</v>
      </c>
      <c r="D1389" s="224"/>
      <c r="E1389" s="224">
        <v>319159</v>
      </c>
      <c r="F1389" s="224">
        <v>24248</v>
      </c>
      <c r="G1389" s="224">
        <v>128097</v>
      </c>
      <c r="H1389" s="224"/>
      <c r="I1389" s="224"/>
      <c r="J1389" s="224"/>
      <c r="K1389" s="224"/>
    </row>
    <row r="1390" spans="1:11">
      <c r="A1390" s="23" t="s">
        <v>395</v>
      </c>
      <c r="B1390" s="23">
        <v>21</v>
      </c>
      <c r="C1390" s="23">
        <v>26</v>
      </c>
      <c r="D1390" s="224"/>
      <c r="E1390" s="224">
        <v>3610526</v>
      </c>
      <c r="F1390" s="224">
        <v>261219</v>
      </c>
      <c r="G1390" s="224">
        <v>1477465</v>
      </c>
      <c r="H1390" s="224"/>
      <c r="I1390" s="224">
        <v>600000</v>
      </c>
      <c r="J1390" s="224">
        <v>12500</v>
      </c>
      <c r="K1390" s="224"/>
    </row>
    <row r="1391" spans="1:11">
      <c r="A1391" s="23" t="s">
        <v>395</v>
      </c>
      <c r="B1391" s="23">
        <v>21</v>
      </c>
      <c r="C1391" s="23">
        <v>27</v>
      </c>
      <c r="D1391" s="224"/>
      <c r="E1391" s="224">
        <v>5130291</v>
      </c>
      <c r="F1391" s="224">
        <v>3618358</v>
      </c>
      <c r="G1391" s="224">
        <v>4157853</v>
      </c>
      <c r="H1391" s="224">
        <v>150000</v>
      </c>
      <c r="I1391" s="224"/>
      <c r="J1391" s="224"/>
      <c r="K1391" s="224"/>
    </row>
    <row r="1392" spans="1:11">
      <c r="A1392" s="23" t="s">
        <v>395</v>
      </c>
      <c r="B1392" s="23">
        <v>21</v>
      </c>
      <c r="C1392" s="23">
        <v>31</v>
      </c>
      <c r="D1392" s="224"/>
      <c r="E1392" s="224"/>
      <c r="F1392" s="224"/>
      <c r="G1392" s="224"/>
      <c r="H1392" s="224"/>
      <c r="I1392" s="224">
        <v>25000</v>
      </c>
      <c r="J1392" s="224"/>
      <c r="K1392" s="224"/>
    </row>
    <row r="1393" spans="1:11">
      <c r="A1393" s="23" t="s">
        <v>395</v>
      </c>
      <c r="B1393" s="23">
        <v>21</v>
      </c>
      <c r="C1393" s="23">
        <v>34</v>
      </c>
      <c r="D1393" s="224"/>
      <c r="E1393" s="224">
        <v>148078</v>
      </c>
      <c r="F1393" s="224"/>
      <c r="G1393" s="224">
        <v>34282</v>
      </c>
      <c r="H1393" s="224"/>
      <c r="I1393" s="224"/>
      <c r="J1393" s="224"/>
      <c r="K1393" s="224"/>
    </row>
    <row r="1394" spans="1:11">
      <c r="A1394" s="23" t="s">
        <v>395</v>
      </c>
      <c r="B1394" s="23">
        <v>24</v>
      </c>
      <c r="C1394" s="23">
        <v>26</v>
      </c>
      <c r="D1394" s="224"/>
      <c r="E1394" s="224">
        <v>104530</v>
      </c>
      <c r="F1394" s="224"/>
      <c r="G1394" s="224">
        <v>23797</v>
      </c>
      <c r="H1394" s="224"/>
      <c r="I1394" s="224"/>
      <c r="J1394" s="224"/>
      <c r="K1394" s="224"/>
    </row>
    <row r="1395" spans="1:11">
      <c r="A1395" s="23" t="s">
        <v>395</v>
      </c>
      <c r="B1395" s="23">
        <v>24</v>
      </c>
      <c r="C1395" s="23">
        <v>27</v>
      </c>
      <c r="D1395" s="224"/>
      <c r="E1395" s="224">
        <v>125377</v>
      </c>
      <c r="F1395" s="224">
        <v>847636</v>
      </c>
      <c r="G1395" s="224">
        <v>582677</v>
      </c>
      <c r="H1395" s="224">
        <v>8307</v>
      </c>
      <c r="I1395" s="224">
        <v>139711</v>
      </c>
      <c r="J1395" s="224"/>
      <c r="K1395" s="224"/>
    </row>
    <row r="1396" spans="1:11">
      <c r="A1396" s="23" t="s">
        <v>1515</v>
      </c>
      <c r="B1396" s="23">
        <v>21</v>
      </c>
      <c r="C1396" s="23">
        <v>26</v>
      </c>
      <c r="D1396" s="224"/>
      <c r="E1396" s="224"/>
      <c r="F1396" s="224"/>
      <c r="G1396" s="224"/>
      <c r="H1396" s="224">
        <v>4833</v>
      </c>
      <c r="I1396" s="224">
        <v>113760</v>
      </c>
      <c r="J1396" s="224"/>
      <c r="K1396" s="224"/>
    </row>
    <row r="1397" spans="1:11">
      <c r="A1397" s="23" t="s">
        <v>1515</v>
      </c>
      <c r="B1397" s="23">
        <v>21</v>
      </c>
      <c r="C1397" s="23">
        <v>27</v>
      </c>
      <c r="D1397" s="224"/>
      <c r="E1397" s="224">
        <v>73460</v>
      </c>
      <c r="F1397" s="224">
        <v>117384</v>
      </c>
      <c r="G1397" s="224">
        <v>69595</v>
      </c>
      <c r="H1397" s="224"/>
      <c r="I1397" s="224"/>
      <c r="J1397" s="224"/>
      <c r="K1397" s="224"/>
    </row>
    <row r="1398" spans="1:11">
      <c r="A1398" s="23" t="s">
        <v>1515</v>
      </c>
      <c r="B1398" s="23">
        <v>24</v>
      </c>
      <c r="C1398" s="23">
        <v>27</v>
      </c>
      <c r="D1398" s="224"/>
      <c r="E1398" s="224">
        <v>17000</v>
      </c>
      <c r="F1398" s="224"/>
      <c r="G1398" s="224">
        <v>4108</v>
      </c>
      <c r="H1398" s="224"/>
      <c r="I1398" s="224"/>
      <c r="J1398" s="224"/>
      <c r="K1398" s="224"/>
    </row>
    <row r="1399" spans="1:11">
      <c r="A1399" s="23" t="s">
        <v>397</v>
      </c>
      <c r="B1399" s="23">
        <v>21</v>
      </c>
      <c r="C1399" s="23">
        <v>21</v>
      </c>
      <c r="D1399" s="224"/>
      <c r="E1399" s="224">
        <v>279869</v>
      </c>
      <c r="F1399" s="224">
        <v>37893</v>
      </c>
      <c r="G1399" s="224">
        <v>108650</v>
      </c>
      <c r="H1399" s="224">
        <v>1000</v>
      </c>
      <c r="I1399" s="224"/>
      <c r="J1399" s="224"/>
      <c r="K1399" s="224"/>
    </row>
    <row r="1400" spans="1:11">
      <c r="A1400" s="23" t="s">
        <v>397</v>
      </c>
      <c r="B1400" s="23">
        <v>21</v>
      </c>
      <c r="C1400" s="23">
        <v>24</v>
      </c>
      <c r="D1400" s="224"/>
      <c r="E1400" s="224"/>
      <c r="F1400" s="224"/>
      <c r="G1400" s="224"/>
      <c r="H1400" s="224">
        <v>2000</v>
      </c>
      <c r="I1400" s="224"/>
      <c r="J1400" s="224"/>
      <c r="K1400" s="224"/>
    </row>
    <row r="1401" spans="1:11">
      <c r="A1401" s="23" t="s">
        <v>397</v>
      </c>
      <c r="B1401" s="23">
        <v>21</v>
      </c>
      <c r="C1401" s="23">
        <v>26</v>
      </c>
      <c r="D1401" s="224"/>
      <c r="E1401" s="224">
        <v>94615</v>
      </c>
      <c r="F1401" s="224"/>
      <c r="G1401" s="224">
        <v>34125</v>
      </c>
      <c r="H1401" s="224"/>
      <c r="I1401" s="224">
        <v>382000</v>
      </c>
      <c r="J1401" s="224"/>
      <c r="K1401" s="224"/>
    </row>
    <row r="1402" spans="1:11">
      <c r="A1402" s="23" t="s">
        <v>397</v>
      </c>
      <c r="B1402" s="23">
        <v>21</v>
      </c>
      <c r="C1402" s="23">
        <v>27</v>
      </c>
      <c r="D1402" s="224"/>
      <c r="E1402" s="224">
        <v>392373</v>
      </c>
      <c r="F1402" s="224">
        <v>249527</v>
      </c>
      <c r="G1402" s="224">
        <v>318902</v>
      </c>
      <c r="H1402" s="224">
        <v>54000</v>
      </c>
      <c r="I1402" s="224">
        <v>15000</v>
      </c>
      <c r="J1402" s="224"/>
      <c r="K1402" s="224"/>
    </row>
    <row r="1403" spans="1:11">
      <c r="A1403" s="23" t="s">
        <v>397</v>
      </c>
      <c r="B1403" s="23">
        <v>21</v>
      </c>
      <c r="C1403" s="23">
        <v>33</v>
      </c>
      <c r="D1403" s="224"/>
      <c r="E1403" s="224"/>
      <c r="F1403" s="224"/>
      <c r="G1403" s="224"/>
      <c r="H1403" s="224">
        <v>50000</v>
      </c>
      <c r="I1403" s="224"/>
      <c r="J1403" s="224"/>
      <c r="K1403" s="224"/>
    </row>
    <row r="1404" spans="1:11">
      <c r="A1404" s="23" t="s">
        <v>397</v>
      </c>
      <c r="B1404" s="23">
        <v>24</v>
      </c>
      <c r="C1404" s="23">
        <v>27</v>
      </c>
      <c r="D1404" s="224"/>
      <c r="E1404" s="224"/>
      <c r="F1404" s="224">
        <v>105316</v>
      </c>
      <c r="G1404" s="224">
        <v>71668</v>
      </c>
      <c r="H1404" s="224"/>
      <c r="I1404" s="224"/>
      <c r="J1404" s="224"/>
      <c r="K1404" s="224"/>
    </row>
    <row r="1405" spans="1:11">
      <c r="A1405" s="23" t="s">
        <v>399</v>
      </c>
      <c r="B1405" s="23">
        <v>21</v>
      </c>
      <c r="C1405" s="23">
        <v>21</v>
      </c>
      <c r="D1405" s="224"/>
      <c r="E1405" s="224">
        <v>28352</v>
      </c>
      <c r="F1405" s="224"/>
      <c r="G1405" s="224">
        <v>9931</v>
      </c>
      <c r="H1405" s="224"/>
      <c r="I1405" s="224"/>
      <c r="J1405" s="224"/>
      <c r="K1405" s="224"/>
    </row>
    <row r="1406" spans="1:11">
      <c r="A1406" s="23" t="s">
        <v>399</v>
      </c>
      <c r="B1406" s="23">
        <v>21</v>
      </c>
      <c r="C1406" s="23">
        <v>26</v>
      </c>
      <c r="D1406" s="224"/>
      <c r="E1406" s="224">
        <v>21301</v>
      </c>
      <c r="F1406" s="224"/>
      <c r="G1406" s="224">
        <v>4883</v>
      </c>
      <c r="H1406" s="224">
        <v>1250</v>
      </c>
      <c r="I1406" s="224">
        <v>110000</v>
      </c>
      <c r="J1406" s="224"/>
      <c r="K1406" s="224"/>
    </row>
    <row r="1407" spans="1:11">
      <c r="A1407" s="23" t="s">
        <v>399</v>
      </c>
      <c r="B1407" s="23">
        <v>21</v>
      </c>
      <c r="C1407" s="23">
        <v>27</v>
      </c>
      <c r="D1407" s="224"/>
      <c r="E1407" s="224">
        <v>122661</v>
      </c>
      <c r="F1407" s="224">
        <v>139660</v>
      </c>
      <c r="G1407" s="224">
        <v>147489</v>
      </c>
      <c r="H1407" s="224">
        <v>6500</v>
      </c>
      <c r="I1407" s="224">
        <v>3150</v>
      </c>
      <c r="J1407" s="224">
        <v>1200</v>
      </c>
      <c r="K1407" s="224">
        <v>1000</v>
      </c>
    </row>
    <row r="1408" spans="1:11">
      <c r="A1408" s="23" t="s">
        <v>399</v>
      </c>
      <c r="B1408" s="23">
        <v>24</v>
      </c>
      <c r="C1408" s="23">
        <v>27</v>
      </c>
      <c r="D1408" s="224"/>
      <c r="E1408" s="224">
        <v>58467</v>
      </c>
      <c r="F1408" s="224"/>
      <c r="G1408" s="224">
        <v>21786</v>
      </c>
      <c r="H1408" s="224"/>
      <c r="I1408" s="224"/>
      <c r="J1408" s="224"/>
      <c r="K1408" s="224"/>
    </row>
    <row r="1409" spans="1:11">
      <c r="A1409" s="23" t="s">
        <v>401</v>
      </c>
      <c r="B1409" s="23">
        <v>21</v>
      </c>
      <c r="C1409" s="23">
        <v>21</v>
      </c>
      <c r="D1409" s="224"/>
      <c r="E1409" s="224"/>
      <c r="F1409" s="224">
        <v>59045</v>
      </c>
      <c r="G1409" s="224">
        <v>19732</v>
      </c>
      <c r="H1409" s="224">
        <v>2000</v>
      </c>
      <c r="I1409" s="224"/>
      <c r="J1409" s="224"/>
      <c r="K1409" s="224"/>
    </row>
    <row r="1410" spans="1:11">
      <c r="A1410" s="23" t="s">
        <v>401</v>
      </c>
      <c r="B1410" s="23">
        <v>21</v>
      </c>
      <c r="C1410" s="23">
        <v>26</v>
      </c>
      <c r="D1410" s="224"/>
      <c r="E1410" s="224">
        <v>1122320</v>
      </c>
      <c r="F1410" s="224">
        <v>80718</v>
      </c>
      <c r="G1410" s="224">
        <v>447435</v>
      </c>
      <c r="H1410" s="224">
        <v>14000</v>
      </c>
      <c r="I1410" s="224">
        <v>792000</v>
      </c>
      <c r="J1410" s="224">
        <v>10000</v>
      </c>
      <c r="K1410" s="224"/>
    </row>
    <row r="1411" spans="1:11">
      <c r="A1411" s="23" t="s">
        <v>401</v>
      </c>
      <c r="B1411" s="23">
        <v>21</v>
      </c>
      <c r="C1411" s="23">
        <v>27</v>
      </c>
      <c r="D1411" s="224"/>
      <c r="E1411" s="224">
        <v>1600367</v>
      </c>
      <c r="F1411" s="224">
        <v>2647221</v>
      </c>
      <c r="G1411" s="224">
        <v>2162987</v>
      </c>
      <c r="H1411" s="224">
        <v>30000</v>
      </c>
      <c r="I1411" s="224">
        <v>200000</v>
      </c>
      <c r="J1411" s="224"/>
      <c r="K1411" s="224"/>
    </row>
    <row r="1412" spans="1:11">
      <c r="A1412" s="23" t="s">
        <v>401</v>
      </c>
      <c r="B1412" s="23">
        <v>21</v>
      </c>
      <c r="C1412" s="23">
        <v>34</v>
      </c>
      <c r="D1412" s="224"/>
      <c r="E1412" s="224">
        <v>41186</v>
      </c>
      <c r="F1412" s="224"/>
      <c r="G1412" s="224">
        <v>9491</v>
      </c>
      <c r="H1412" s="224"/>
      <c r="I1412" s="224"/>
      <c r="J1412" s="224"/>
      <c r="K1412" s="224"/>
    </row>
    <row r="1413" spans="1:11">
      <c r="A1413" s="23" t="s">
        <v>401</v>
      </c>
      <c r="B1413" s="23">
        <v>23</v>
      </c>
      <c r="C1413" s="23">
        <v>26</v>
      </c>
      <c r="D1413" s="224"/>
      <c r="E1413" s="224"/>
      <c r="F1413" s="224"/>
      <c r="G1413" s="224"/>
      <c r="H1413" s="224"/>
      <c r="I1413" s="224">
        <v>125000</v>
      </c>
      <c r="J1413" s="224"/>
      <c r="K1413" s="224"/>
    </row>
    <row r="1414" spans="1:11">
      <c r="A1414" s="23" t="s">
        <v>401</v>
      </c>
      <c r="B1414" s="23">
        <v>24</v>
      </c>
      <c r="C1414" s="23">
        <v>27</v>
      </c>
      <c r="D1414" s="224"/>
      <c r="E1414" s="224">
        <v>637814</v>
      </c>
      <c r="F1414" s="224"/>
      <c r="G1414" s="224">
        <v>245702</v>
      </c>
      <c r="H1414" s="224"/>
      <c r="I1414" s="224"/>
      <c r="J1414" s="224"/>
      <c r="K1414" s="224"/>
    </row>
    <row r="1415" spans="1:11">
      <c r="A1415" s="23" t="s">
        <v>401</v>
      </c>
      <c r="B1415" s="23">
        <v>29</v>
      </c>
      <c r="C1415" s="23">
        <v>27</v>
      </c>
      <c r="D1415" s="224"/>
      <c r="E1415" s="224">
        <v>11144</v>
      </c>
      <c r="F1415" s="224"/>
      <c r="G1415" s="224">
        <v>4041</v>
      </c>
      <c r="H1415" s="224"/>
      <c r="I1415" s="224"/>
      <c r="J1415" s="224"/>
      <c r="K1415" s="224"/>
    </row>
    <row r="1416" spans="1:11">
      <c r="A1416" s="23" t="s">
        <v>384</v>
      </c>
      <c r="B1416" s="23">
        <v>21</v>
      </c>
      <c r="C1416" s="23">
        <v>21</v>
      </c>
      <c r="D1416" s="224"/>
      <c r="E1416" s="224">
        <v>75928</v>
      </c>
      <c r="F1416" s="224">
        <v>52642</v>
      </c>
      <c r="G1416" s="224">
        <v>47688</v>
      </c>
      <c r="H1416" s="224"/>
      <c r="I1416" s="224"/>
      <c r="J1416" s="224"/>
      <c r="K1416" s="224"/>
    </row>
    <row r="1417" spans="1:11">
      <c r="A1417" s="23" t="s">
        <v>384</v>
      </c>
      <c r="B1417" s="23">
        <v>21</v>
      </c>
      <c r="C1417" s="23">
        <v>26</v>
      </c>
      <c r="D1417" s="224"/>
      <c r="E1417" s="224">
        <v>233795</v>
      </c>
      <c r="F1417" s="224"/>
      <c r="G1417" s="224">
        <v>90975</v>
      </c>
      <c r="H1417" s="224"/>
      <c r="I1417" s="224">
        <v>179400</v>
      </c>
      <c r="J1417" s="224"/>
      <c r="K1417" s="224"/>
    </row>
    <row r="1418" spans="1:11">
      <c r="A1418" s="23" t="s">
        <v>384</v>
      </c>
      <c r="B1418" s="23">
        <v>21</v>
      </c>
      <c r="C1418" s="23">
        <v>27</v>
      </c>
      <c r="D1418" s="224"/>
      <c r="E1418" s="224">
        <v>749724</v>
      </c>
      <c r="F1418" s="224">
        <v>631118</v>
      </c>
      <c r="G1418" s="224">
        <v>659355</v>
      </c>
      <c r="H1418" s="224">
        <v>5000</v>
      </c>
      <c r="I1418" s="224">
        <v>29000</v>
      </c>
      <c r="J1418" s="224"/>
      <c r="K1418" s="224"/>
    </row>
    <row r="1419" spans="1:11">
      <c r="A1419" s="23" t="s">
        <v>384</v>
      </c>
      <c r="B1419" s="23">
        <v>21</v>
      </c>
      <c r="C1419" s="23">
        <v>31</v>
      </c>
      <c r="D1419" s="224"/>
      <c r="E1419" s="224">
        <v>16761</v>
      </c>
      <c r="F1419" s="224"/>
      <c r="G1419" s="224">
        <v>3865</v>
      </c>
      <c r="H1419" s="224"/>
      <c r="I1419" s="224"/>
      <c r="J1419" s="224"/>
      <c r="K1419" s="224"/>
    </row>
    <row r="1420" spans="1:11">
      <c r="A1420" s="23" t="s">
        <v>384</v>
      </c>
      <c r="B1420" s="23">
        <v>21</v>
      </c>
      <c r="C1420" s="23">
        <v>34</v>
      </c>
      <c r="D1420" s="224"/>
      <c r="E1420" s="224">
        <v>15404</v>
      </c>
      <c r="F1420" s="224"/>
      <c r="G1420" s="224">
        <v>3552</v>
      </c>
      <c r="H1420" s="224"/>
      <c r="I1420" s="224"/>
      <c r="J1420" s="224"/>
      <c r="K1420" s="224"/>
    </row>
    <row r="1421" spans="1:11">
      <c r="A1421" s="23" t="s">
        <v>384</v>
      </c>
      <c r="B1421" s="23">
        <v>24</v>
      </c>
      <c r="C1421" s="23">
        <v>26</v>
      </c>
      <c r="D1421" s="224"/>
      <c r="E1421" s="224">
        <v>141130</v>
      </c>
      <c r="F1421" s="224"/>
      <c r="G1421" s="224">
        <v>57336</v>
      </c>
      <c r="H1421" s="224"/>
      <c r="I1421" s="224"/>
      <c r="J1421" s="224"/>
      <c r="K1421" s="224"/>
    </row>
    <row r="1422" spans="1:11">
      <c r="A1422" s="23" t="s">
        <v>384</v>
      </c>
      <c r="B1422" s="23">
        <v>24</v>
      </c>
      <c r="C1422" s="23">
        <v>27</v>
      </c>
      <c r="D1422" s="224"/>
      <c r="E1422" s="224">
        <v>53185</v>
      </c>
      <c r="F1422" s="224"/>
      <c r="G1422" s="224">
        <v>19961</v>
      </c>
      <c r="H1422" s="224">
        <v>4206</v>
      </c>
      <c r="I1422" s="224"/>
      <c r="J1422" s="224"/>
      <c r="K1422" s="224"/>
    </row>
    <row r="1423" spans="1:11">
      <c r="A1423" s="23" t="s">
        <v>384</v>
      </c>
      <c r="B1423" s="23">
        <v>24</v>
      </c>
      <c r="C1423" s="23">
        <v>31</v>
      </c>
      <c r="D1423" s="224"/>
      <c r="E1423" s="224">
        <v>6477</v>
      </c>
      <c r="F1423" s="224"/>
      <c r="G1423" s="224">
        <v>1499</v>
      </c>
      <c r="H1423" s="224"/>
      <c r="I1423" s="224"/>
      <c r="J1423" s="224"/>
      <c r="K1423" s="224"/>
    </row>
    <row r="1424" spans="1:11">
      <c r="A1424" s="23" t="s">
        <v>386</v>
      </c>
      <c r="B1424" s="23">
        <v>21</v>
      </c>
      <c r="C1424" s="23">
        <v>26</v>
      </c>
      <c r="D1424" s="224"/>
      <c r="E1424" s="224"/>
      <c r="F1424" s="224"/>
      <c r="G1424" s="224"/>
      <c r="H1424" s="224"/>
      <c r="I1424" s="224">
        <v>70000</v>
      </c>
      <c r="J1424" s="224"/>
      <c r="K1424" s="224"/>
    </row>
    <row r="1425" spans="1:11">
      <c r="A1425" s="23" t="s">
        <v>386</v>
      </c>
      <c r="B1425" s="23">
        <v>21</v>
      </c>
      <c r="C1425" s="23">
        <v>27</v>
      </c>
      <c r="D1425" s="224"/>
      <c r="E1425" s="224">
        <v>132158</v>
      </c>
      <c r="F1425" s="224">
        <v>131897</v>
      </c>
      <c r="G1425" s="224">
        <v>113335</v>
      </c>
      <c r="H1425" s="224">
        <v>6000</v>
      </c>
      <c r="I1425" s="224">
        <v>50000</v>
      </c>
      <c r="J1425" s="224"/>
      <c r="K1425" s="224"/>
    </row>
    <row r="1426" spans="1:11">
      <c r="A1426" s="23" t="s">
        <v>386</v>
      </c>
      <c r="B1426" s="23">
        <v>21</v>
      </c>
      <c r="C1426" s="23">
        <v>31</v>
      </c>
      <c r="D1426" s="224"/>
      <c r="E1426" s="224">
        <v>1910</v>
      </c>
      <c r="F1426" s="224"/>
      <c r="G1426" s="224">
        <v>189</v>
      </c>
      <c r="H1426" s="224"/>
      <c r="I1426" s="224">
        <v>2000</v>
      </c>
      <c r="J1426" s="224">
        <v>1000</v>
      </c>
      <c r="K1426" s="224"/>
    </row>
    <row r="1427" spans="1:11">
      <c r="A1427" s="23" t="s">
        <v>386</v>
      </c>
      <c r="B1427" s="23">
        <v>21</v>
      </c>
      <c r="C1427" s="23">
        <v>34</v>
      </c>
      <c r="D1427" s="224"/>
      <c r="E1427" s="224">
        <v>1953</v>
      </c>
      <c r="F1427" s="224"/>
      <c r="G1427" s="224">
        <v>284</v>
      </c>
      <c r="H1427" s="224"/>
      <c r="I1427" s="224"/>
      <c r="J1427" s="224"/>
      <c r="K1427" s="224"/>
    </row>
    <row r="1428" spans="1:11">
      <c r="A1428" s="23" t="s">
        <v>386</v>
      </c>
      <c r="B1428" s="23">
        <v>24</v>
      </c>
      <c r="C1428" s="23">
        <v>26</v>
      </c>
      <c r="D1428" s="224"/>
      <c r="E1428" s="224"/>
      <c r="F1428" s="224"/>
      <c r="G1428" s="224"/>
      <c r="H1428" s="224"/>
      <c r="I1428" s="224">
        <v>30000</v>
      </c>
      <c r="J1428" s="224"/>
      <c r="K1428" s="224"/>
    </row>
    <row r="1429" spans="1:11">
      <c r="A1429" s="23" t="s">
        <v>386</v>
      </c>
      <c r="B1429" s="23">
        <v>24</v>
      </c>
      <c r="C1429" s="23">
        <v>27</v>
      </c>
      <c r="D1429" s="224"/>
      <c r="E1429" s="224"/>
      <c r="F1429" s="224"/>
      <c r="G1429" s="224">
        <v>1252</v>
      </c>
      <c r="H1429" s="224">
        <v>10000</v>
      </c>
      <c r="I1429" s="224"/>
      <c r="J1429" s="224"/>
      <c r="K1429" s="224"/>
    </row>
    <row r="1430" spans="1:11">
      <c r="A1430" s="23" t="s">
        <v>936</v>
      </c>
      <c r="B1430" s="23">
        <v>21</v>
      </c>
      <c r="C1430" s="23">
        <v>21</v>
      </c>
      <c r="D1430" s="224"/>
      <c r="E1430" s="224">
        <v>105249</v>
      </c>
      <c r="F1430" s="224"/>
      <c r="G1430" s="224">
        <v>24207</v>
      </c>
      <c r="H1430" s="224"/>
      <c r="I1430" s="224"/>
      <c r="J1430" s="224"/>
      <c r="K1430" s="224"/>
    </row>
    <row r="1431" spans="1:11">
      <c r="A1431" s="23" t="s">
        <v>936</v>
      </c>
      <c r="B1431" s="23">
        <v>21</v>
      </c>
      <c r="C1431" s="23">
        <v>24</v>
      </c>
      <c r="D1431" s="224"/>
      <c r="E1431" s="224">
        <v>112503</v>
      </c>
      <c r="F1431" s="224"/>
      <c r="G1431" s="224"/>
      <c r="H1431" s="224"/>
      <c r="I1431" s="224"/>
      <c r="J1431" s="224"/>
      <c r="K1431" s="224"/>
    </row>
    <row r="1432" spans="1:11">
      <c r="A1432" s="23" t="s">
        <v>936</v>
      </c>
      <c r="B1432" s="23">
        <v>21</v>
      </c>
      <c r="C1432" s="23">
        <v>26</v>
      </c>
      <c r="D1432" s="224"/>
      <c r="E1432" s="224"/>
      <c r="F1432" s="224"/>
      <c r="G1432" s="224"/>
      <c r="H1432" s="224">
        <v>10000</v>
      </c>
      <c r="I1432" s="224">
        <v>150000</v>
      </c>
      <c r="J1432" s="224"/>
      <c r="K1432" s="224"/>
    </row>
    <row r="1433" spans="1:11">
      <c r="A1433" s="23" t="s">
        <v>936</v>
      </c>
      <c r="B1433" s="23">
        <v>21</v>
      </c>
      <c r="C1433" s="23">
        <v>27</v>
      </c>
      <c r="D1433" s="224"/>
      <c r="E1433" s="224">
        <v>121922</v>
      </c>
      <c r="F1433" s="224">
        <v>42000</v>
      </c>
      <c r="G1433" s="224">
        <v>121596</v>
      </c>
      <c r="H1433" s="224"/>
      <c r="I1433" s="224"/>
      <c r="J1433" s="224"/>
      <c r="K1433" s="224"/>
    </row>
    <row r="1434" spans="1:11">
      <c r="A1434" s="23" t="s">
        <v>936</v>
      </c>
      <c r="B1434" s="23">
        <v>24</v>
      </c>
      <c r="C1434" s="23">
        <v>27</v>
      </c>
      <c r="D1434" s="224"/>
      <c r="E1434" s="224">
        <v>76270</v>
      </c>
      <c r="F1434" s="224"/>
      <c r="G1434" s="224">
        <v>29854</v>
      </c>
      <c r="H1434" s="224"/>
      <c r="I1434" s="224"/>
      <c r="J1434" s="224"/>
      <c r="K1434" s="224"/>
    </row>
    <row r="1435" spans="1:11">
      <c r="A1435" s="23" t="s">
        <v>348</v>
      </c>
      <c r="B1435" s="23">
        <v>21</v>
      </c>
      <c r="C1435" s="23">
        <v>21</v>
      </c>
      <c r="D1435" s="224"/>
      <c r="E1435" s="224">
        <v>115984</v>
      </c>
      <c r="F1435" s="224">
        <v>104516</v>
      </c>
      <c r="G1435" s="224">
        <v>92936</v>
      </c>
      <c r="H1435" s="224">
        <v>2000</v>
      </c>
      <c r="I1435" s="224">
        <v>6500</v>
      </c>
      <c r="J1435" s="224">
        <v>800</v>
      </c>
      <c r="K1435" s="224"/>
    </row>
    <row r="1436" spans="1:11">
      <c r="A1436" s="23" t="s">
        <v>348</v>
      </c>
      <c r="B1436" s="23">
        <v>21</v>
      </c>
      <c r="C1436" s="23">
        <v>26</v>
      </c>
      <c r="D1436" s="224"/>
      <c r="E1436" s="224">
        <v>227357</v>
      </c>
      <c r="F1436" s="224">
        <v>129418</v>
      </c>
      <c r="G1436" s="224">
        <v>159171</v>
      </c>
      <c r="H1436" s="224"/>
      <c r="I1436" s="224">
        <v>504987</v>
      </c>
      <c r="J1436" s="224"/>
      <c r="K1436" s="224"/>
    </row>
    <row r="1437" spans="1:11">
      <c r="A1437" s="23" t="s">
        <v>348</v>
      </c>
      <c r="B1437" s="23">
        <v>21</v>
      </c>
      <c r="C1437" s="23">
        <v>27</v>
      </c>
      <c r="D1437" s="224"/>
      <c r="E1437" s="224">
        <v>1101457</v>
      </c>
      <c r="F1437" s="224">
        <v>668614</v>
      </c>
      <c r="G1437" s="224">
        <v>905866</v>
      </c>
      <c r="H1437" s="224">
        <v>15000</v>
      </c>
      <c r="I1437" s="224">
        <v>15000</v>
      </c>
      <c r="J1437" s="224">
        <v>200</v>
      </c>
      <c r="K1437" s="224"/>
    </row>
    <row r="1438" spans="1:11">
      <c r="A1438" s="23" t="s">
        <v>348</v>
      </c>
      <c r="B1438" s="23">
        <v>21</v>
      </c>
      <c r="C1438" s="23">
        <v>31</v>
      </c>
      <c r="D1438" s="224"/>
      <c r="E1438" s="224">
        <v>6911</v>
      </c>
      <c r="F1438" s="224"/>
      <c r="G1438" s="224">
        <v>1588</v>
      </c>
      <c r="H1438" s="224"/>
      <c r="I1438" s="224"/>
      <c r="J1438" s="224"/>
      <c r="K1438" s="224"/>
    </row>
    <row r="1439" spans="1:11">
      <c r="A1439" s="23" t="s">
        <v>348</v>
      </c>
      <c r="B1439" s="23">
        <v>21</v>
      </c>
      <c r="C1439" s="23">
        <v>34</v>
      </c>
      <c r="D1439" s="224"/>
      <c r="E1439" s="224">
        <v>20730</v>
      </c>
      <c r="F1439" s="224"/>
      <c r="G1439" s="224">
        <v>4769</v>
      </c>
      <c r="H1439" s="224"/>
      <c r="I1439" s="224"/>
      <c r="J1439" s="224"/>
      <c r="K1439" s="224"/>
    </row>
    <row r="1440" spans="1:11">
      <c r="A1440" s="23" t="s">
        <v>348</v>
      </c>
      <c r="B1440" s="23">
        <v>24</v>
      </c>
      <c r="C1440" s="23">
        <v>27</v>
      </c>
      <c r="D1440" s="224"/>
      <c r="E1440" s="224"/>
      <c r="F1440" s="224">
        <v>247172</v>
      </c>
      <c r="G1440" s="224">
        <v>168961</v>
      </c>
      <c r="H1440" s="224">
        <v>15011</v>
      </c>
      <c r="I1440" s="224">
        <v>85000</v>
      </c>
      <c r="J1440" s="224">
        <v>2145</v>
      </c>
      <c r="K1440" s="224"/>
    </row>
    <row r="1441" spans="1:11">
      <c r="A1441" s="23" t="s">
        <v>1518</v>
      </c>
      <c r="B1441" s="23">
        <v>21</v>
      </c>
      <c r="C1441" s="23">
        <v>26</v>
      </c>
      <c r="D1441" s="224"/>
      <c r="E1441" s="224"/>
      <c r="F1441" s="224"/>
      <c r="G1441" s="224"/>
      <c r="H1441" s="224">
        <v>3377</v>
      </c>
      <c r="I1441" s="224">
        <v>50151</v>
      </c>
      <c r="J1441" s="224"/>
      <c r="K1441" s="224"/>
    </row>
    <row r="1442" spans="1:11">
      <c r="A1442" s="23" t="s">
        <v>1518</v>
      </c>
      <c r="B1442" s="23">
        <v>21</v>
      </c>
      <c r="C1442" s="23">
        <v>27</v>
      </c>
      <c r="D1442" s="224"/>
      <c r="E1442" s="224">
        <v>66046</v>
      </c>
      <c r="F1442" s="224">
        <v>31221</v>
      </c>
      <c r="G1442" s="224">
        <v>52899</v>
      </c>
      <c r="H1442" s="224"/>
      <c r="I1442" s="224"/>
      <c r="J1442" s="224"/>
      <c r="K1442" s="224"/>
    </row>
    <row r="1443" spans="1:11">
      <c r="A1443" s="23" t="s">
        <v>1518</v>
      </c>
      <c r="B1443" s="23">
        <v>24</v>
      </c>
      <c r="C1443" s="23">
        <v>27</v>
      </c>
      <c r="D1443" s="224"/>
      <c r="E1443" s="224">
        <v>12000</v>
      </c>
      <c r="F1443" s="224"/>
      <c r="G1443" s="224">
        <v>2900</v>
      </c>
      <c r="H1443" s="224"/>
      <c r="I1443" s="224"/>
      <c r="J1443" s="224"/>
      <c r="K1443" s="224"/>
    </row>
    <row r="1444" spans="1:11">
      <c r="A1444" s="23" t="s">
        <v>350</v>
      </c>
      <c r="B1444" s="23">
        <v>21</v>
      </c>
      <c r="C1444" s="23">
        <v>21</v>
      </c>
      <c r="D1444" s="224"/>
      <c r="E1444" s="224">
        <v>181727</v>
      </c>
      <c r="F1444" s="224">
        <v>73220</v>
      </c>
      <c r="G1444" s="224">
        <v>85686</v>
      </c>
      <c r="H1444" s="224">
        <v>1000</v>
      </c>
      <c r="I1444" s="224">
        <v>500</v>
      </c>
      <c r="J1444" s="224">
        <v>500</v>
      </c>
      <c r="K1444" s="224"/>
    </row>
    <row r="1445" spans="1:11">
      <c r="A1445" s="23" t="s">
        <v>350</v>
      </c>
      <c r="B1445" s="23">
        <v>21</v>
      </c>
      <c r="C1445" s="23">
        <v>25</v>
      </c>
      <c r="D1445" s="224"/>
      <c r="E1445" s="224"/>
      <c r="F1445" s="224">
        <v>53115</v>
      </c>
      <c r="G1445" s="224">
        <v>34353</v>
      </c>
      <c r="H1445" s="224"/>
      <c r="I1445" s="224"/>
      <c r="J1445" s="224"/>
      <c r="K1445" s="224"/>
    </row>
    <row r="1446" spans="1:11">
      <c r="A1446" s="23" t="s">
        <v>350</v>
      </c>
      <c r="B1446" s="23">
        <v>21</v>
      </c>
      <c r="C1446" s="23">
        <v>26</v>
      </c>
      <c r="D1446" s="224"/>
      <c r="E1446" s="224">
        <v>710254</v>
      </c>
      <c r="F1446" s="224"/>
      <c r="G1446" s="224">
        <v>282663</v>
      </c>
      <c r="H1446" s="224">
        <v>2500</v>
      </c>
      <c r="I1446" s="224">
        <v>5000</v>
      </c>
      <c r="J1446" s="224"/>
      <c r="K1446" s="224"/>
    </row>
    <row r="1447" spans="1:11">
      <c r="A1447" s="23" t="s">
        <v>350</v>
      </c>
      <c r="B1447" s="23">
        <v>21</v>
      </c>
      <c r="C1447" s="23">
        <v>27</v>
      </c>
      <c r="D1447" s="224">
        <v>1700</v>
      </c>
      <c r="E1447" s="224">
        <v>849583</v>
      </c>
      <c r="F1447" s="224">
        <v>601554</v>
      </c>
      <c r="G1447" s="224">
        <v>725034</v>
      </c>
      <c r="H1447" s="224">
        <v>6700</v>
      </c>
      <c r="I1447" s="224">
        <v>3500</v>
      </c>
      <c r="J1447" s="224">
        <v>500</v>
      </c>
      <c r="K1447" s="224"/>
    </row>
    <row r="1448" spans="1:11">
      <c r="A1448" s="23" t="s">
        <v>350</v>
      </c>
      <c r="B1448" s="23">
        <v>21</v>
      </c>
      <c r="C1448" s="23">
        <v>31</v>
      </c>
      <c r="D1448" s="224"/>
      <c r="E1448" s="224">
        <v>38177</v>
      </c>
      <c r="F1448" s="224">
        <v>1000</v>
      </c>
      <c r="G1448" s="224">
        <v>9111</v>
      </c>
      <c r="H1448" s="224">
        <v>200</v>
      </c>
      <c r="I1448" s="224"/>
      <c r="J1448" s="224">
        <v>500</v>
      </c>
      <c r="K1448" s="224"/>
    </row>
    <row r="1449" spans="1:11">
      <c r="A1449" s="23" t="s">
        <v>350</v>
      </c>
      <c r="B1449" s="23">
        <v>21</v>
      </c>
      <c r="C1449" s="23">
        <v>32</v>
      </c>
      <c r="D1449" s="224"/>
      <c r="E1449" s="224"/>
      <c r="F1449" s="224"/>
      <c r="G1449" s="224"/>
      <c r="H1449" s="224">
        <v>600</v>
      </c>
      <c r="I1449" s="224"/>
      <c r="J1449" s="224"/>
      <c r="K1449" s="224"/>
    </row>
    <row r="1450" spans="1:11">
      <c r="A1450" s="23" t="s">
        <v>350</v>
      </c>
      <c r="B1450" s="23">
        <v>21</v>
      </c>
      <c r="C1450" s="23">
        <v>34</v>
      </c>
      <c r="D1450" s="224"/>
      <c r="E1450" s="224">
        <v>27882</v>
      </c>
      <c r="F1450" s="224"/>
      <c r="G1450" s="224">
        <v>6270</v>
      </c>
      <c r="H1450" s="224"/>
      <c r="I1450" s="224"/>
      <c r="J1450" s="224"/>
      <c r="K1450" s="224"/>
    </row>
    <row r="1451" spans="1:11">
      <c r="A1451" s="23" t="s">
        <v>350</v>
      </c>
      <c r="B1451" s="23">
        <v>23</v>
      </c>
      <c r="C1451" s="23">
        <v>27</v>
      </c>
      <c r="D1451" s="224"/>
      <c r="E1451" s="224"/>
      <c r="F1451" s="224">
        <v>48532</v>
      </c>
      <c r="G1451" s="224">
        <v>26386</v>
      </c>
      <c r="H1451" s="224">
        <v>6955</v>
      </c>
      <c r="I1451" s="224">
        <v>9901</v>
      </c>
      <c r="J1451" s="224"/>
      <c r="K1451" s="224"/>
    </row>
    <row r="1452" spans="1:11">
      <c r="A1452" s="23" t="s">
        <v>350</v>
      </c>
      <c r="B1452" s="23">
        <v>23</v>
      </c>
      <c r="C1452" s="23">
        <v>31</v>
      </c>
      <c r="D1452" s="224"/>
      <c r="E1452" s="224"/>
      <c r="F1452" s="224"/>
      <c r="G1452" s="224"/>
      <c r="H1452" s="224">
        <v>3876</v>
      </c>
      <c r="I1452" s="224"/>
      <c r="J1452" s="224"/>
      <c r="K1452" s="224"/>
    </row>
    <row r="1453" spans="1:11">
      <c r="A1453" s="23" t="s">
        <v>350</v>
      </c>
      <c r="B1453" s="23">
        <v>24</v>
      </c>
      <c r="C1453" s="23">
        <v>26</v>
      </c>
      <c r="D1453" s="224"/>
      <c r="E1453" s="224"/>
      <c r="F1453" s="224"/>
      <c r="G1453" s="224"/>
      <c r="H1453" s="224"/>
      <c r="I1453" s="224"/>
      <c r="J1453" s="224">
        <v>7102</v>
      </c>
      <c r="K1453" s="224"/>
    </row>
    <row r="1454" spans="1:11">
      <c r="A1454" s="23" t="s">
        <v>350</v>
      </c>
      <c r="B1454" s="23">
        <v>24</v>
      </c>
      <c r="C1454" s="23">
        <v>27</v>
      </c>
      <c r="D1454" s="224"/>
      <c r="E1454" s="224">
        <v>278705</v>
      </c>
      <c r="F1454" s="224">
        <v>3700</v>
      </c>
      <c r="G1454" s="224">
        <v>116583</v>
      </c>
      <c r="H1454" s="224">
        <v>5077</v>
      </c>
      <c r="I1454" s="224">
        <v>8851</v>
      </c>
      <c r="J1454" s="224"/>
      <c r="K1454" s="224"/>
    </row>
    <row r="1455" spans="1:11">
      <c r="A1455" s="23" t="s">
        <v>350</v>
      </c>
      <c r="B1455" s="23">
        <v>24</v>
      </c>
      <c r="C1455" s="23">
        <v>31</v>
      </c>
      <c r="D1455" s="224"/>
      <c r="E1455" s="224">
        <v>12204</v>
      </c>
      <c r="F1455" s="224">
        <v>2000</v>
      </c>
      <c r="G1455" s="224">
        <v>3241</v>
      </c>
      <c r="H1455" s="224">
        <v>4999</v>
      </c>
      <c r="I1455" s="224"/>
      <c r="J1455" s="224">
        <v>5500</v>
      </c>
      <c r="K1455" s="224"/>
    </row>
    <row r="1456" spans="1:11">
      <c r="A1456" s="23" t="s">
        <v>350</v>
      </c>
      <c r="B1456" s="23">
        <v>24</v>
      </c>
      <c r="C1456" s="23">
        <v>32</v>
      </c>
      <c r="D1456" s="224"/>
      <c r="E1456" s="224"/>
      <c r="F1456" s="224"/>
      <c r="G1456" s="224"/>
      <c r="H1456" s="224">
        <v>6000</v>
      </c>
      <c r="I1456" s="224"/>
      <c r="J1456" s="224"/>
      <c r="K1456" s="224"/>
    </row>
    <row r="1457" spans="1:11">
      <c r="A1457" s="23" t="s">
        <v>350</v>
      </c>
      <c r="B1457" s="23">
        <v>24</v>
      </c>
      <c r="C1457" s="23">
        <v>33</v>
      </c>
      <c r="D1457" s="224"/>
      <c r="E1457" s="224"/>
      <c r="F1457" s="224"/>
      <c r="G1457" s="224"/>
      <c r="H1457" s="224">
        <v>3000</v>
      </c>
      <c r="I1457" s="224"/>
      <c r="J1457" s="224"/>
      <c r="K1457" s="224"/>
    </row>
    <row r="1458" spans="1:11">
      <c r="A1458" s="23" t="s">
        <v>352</v>
      </c>
      <c r="B1458" s="23">
        <v>21</v>
      </c>
      <c r="C1458" s="23">
        <v>21</v>
      </c>
      <c r="D1458" s="224"/>
      <c r="E1458" s="224">
        <v>1049108</v>
      </c>
      <c r="F1458" s="224">
        <v>530927</v>
      </c>
      <c r="G1458" s="224">
        <v>515413</v>
      </c>
      <c r="H1458" s="224"/>
      <c r="I1458" s="224"/>
      <c r="J1458" s="224"/>
      <c r="K1458" s="224"/>
    </row>
    <row r="1459" spans="1:11">
      <c r="A1459" s="23" t="s">
        <v>352</v>
      </c>
      <c r="B1459" s="23">
        <v>21</v>
      </c>
      <c r="C1459" s="23">
        <v>24</v>
      </c>
      <c r="D1459" s="224"/>
      <c r="E1459" s="224">
        <v>227574</v>
      </c>
      <c r="F1459" s="224">
        <v>95904</v>
      </c>
      <c r="G1459" s="224">
        <v>121580</v>
      </c>
      <c r="H1459" s="224">
        <v>400</v>
      </c>
      <c r="I1459" s="224"/>
      <c r="J1459" s="224">
        <v>1600</v>
      </c>
      <c r="K1459" s="224"/>
    </row>
    <row r="1460" spans="1:11">
      <c r="A1460" s="23" t="s">
        <v>352</v>
      </c>
      <c r="B1460" s="23">
        <v>21</v>
      </c>
      <c r="C1460" s="23">
        <v>25</v>
      </c>
      <c r="D1460" s="224"/>
      <c r="E1460" s="224"/>
      <c r="F1460" s="224">
        <v>6922</v>
      </c>
      <c r="G1460" s="224">
        <v>3608</v>
      </c>
      <c r="H1460" s="224"/>
      <c r="I1460" s="224"/>
      <c r="J1460" s="224"/>
      <c r="K1460" s="224"/>
    </row>
    <row r="1461" spans="1:11">
      <c r="A1461" s="23" t="s">
        <v>352</v>
      </c>
      <c r="B1461" s="23">
        <v>21</v>
      </c>
      <c r="C1461" s="23">
        <v>26</v>
      </c>
      <c r="D1461" s="224"/>
      <c r="E1461" s="224">
        <v>7047360</v>
      </c>
      <c r="F1461" s="224">
        <v>422199</v>
      </c>
      <c r="G1461" s="224">
        <v>2735699</v>
      </c>
      <c r="H1461" s="224">
        <v>94500</v>
      </c>
      <c r="I1461" s="224">
        <v>7000</v>
      </c>
      <c r="J1461" s="224">
        <v>6800</v>
      </c>
      <c r="K1461" s="224"/>
    </row>
    <row r="1462" spans="1:11">
      <c r="A1462" s="23" t="s">
        <v>352</v>
      </c>
      <c r="B1462" s="23">
        <v>21</v>
      </c>
      <c r="C1462" s="23">
        <v>27</v>
      </c>
      <c r="D1462" s="224">
        <v>134050</v>
      </c>
      <c r="E1462" s="224">
        <v>12082866</v>
      </c>
      <c r="F1462" s="224">
        <v>10956733</v>
      </c>
      <c r="G1462" s="224">
        <v>9793474</v>
      </c>
      <c r="H1462" s="224">
        <v>191890</v>
      </c>
      <c r="I1462" s="224">
        <v>1234990</v>
      </c>
      <c r="J1462" s="224">
        <v>29280</v>
      </c>
      <c r="K1462" s="224">
        <v>10000</v>
      </c>
    </row>
    <row r="1463" spans="1:11">
      <c r="A1463" s="23" t="s">
        <v>352</v>
      </c>
      <c r="B1463" s="23">
        <v>23</v>
      </c>
      <c r="C1463" s="23">
        <v>27</v>
      </c>
      <c r="D1463" s="224"/>
      <c r="E1463" s="224">
        <v>417817</v>
      </c>
      <c r="F1463" s="224"/>
      <c r="G1463" s="224">
        <v>145332</v>
      </c>
      <c r="H1463" s="224"/>
      <c r="I1463" s="224"/>
      <c r="J1463" s="224"/>
      <c r="K1463" s="224"/>
    </row>
    <row r="1464" spans="1:11">
      <c r="A1464" s="23" t="s">
        <v>352</v>
      </c>
      <c r="B1464" s="23">
        <v>24</v>
      </c>
      <c r="C1464" s="23">
        <v>27</v>
      </c>
      <c r="D1464" s="224"/>
      <c r="E1464" s="224">
        <v>2890463</v>
      </c>
      <c r="F1464" s="224"/>
      <c r="G1464" s="224">
        <v>1041635</v>
      </c>
      <c r="H1464" s="224"/>
      <c r="I1464" s="224"/>
      <c r="J1464" s="224"/>
      <c r="K1464" s="224"/>
    </row>
    <row r="1465" spans="1:11">
      <c r="A1465" s="23" t="s">
        <v>354</v>
      </c>
      <c r="B1465" s="23">
        <v>21</v>
      </c>
      <c r="C1465" s="23">
        <v>26</v>
      </c>
      <c r="D1465" s="224"/>
      <c r="E1465" s="224"/>
      <c r="F1465" s="224"/>
      <c r="G1465" s="224"/>
      <c r="H1465" s="224"/>
      <c r="I1465" s="224">
        <v>128800</v>
      </c>
      <c r="J1465" s="224"/>
      <c r="K1465" s="224"/>
    </row>
    <row r="1466" spans="1:11">
      <c r="A1466" s="23" t="s">
        <v>354</v>
      </c>
      <c r="B1466" s="23">
        <v>21</v>
      </c>
      <c r="C1466" s="23">
        <v>27</v>
      </c>
      <c r="D1466" s="224"/>
      <c r="E1466" s="224"/>
      <c r="F1466" s="224">
        <v>2535</v>
      </c>
      <c r="G1466" s="224">
        <v>1776</v>
      </c>
      <c r="H1466" s="224">
        <v>2000</v>
      </c>
      <c r="I1466" s="224"/>
      <c r="J1466" s="224"/>
      <c r="K1466" s="224"/>
    </row>
    <row r="1467" spans="1:11">
      <c r="A1467" s="23" t="s">
        <v>354</v>
      </c>
      <c r="B1467" s="23">
        <v>24</v>
      </c>
      <c r="C1467" s="23">
        <v>26</v>
      </c>
      <c r="D1467" s="224"/>
      <c r="E1467" s="224"/>
      <c r="F1467" s="224"/>
      <c r="G1467" s="224"/>
      <c r="H1467" s="224"/>
      <c r="I1467" s="224">
        <v>6775</v>
      </c>
      <c r="J1467" s="224"/>
      <c r="K1467" s="224"/>
    </row>
    <row r="1468" spans="1:11">
      <c r="A1468" s="23" t="s">
        <v>354</v>
      </c>
      <c r="B1468" s="23">
        <v>29</v>
      </c>
      <c r="C1468" s="23">
        <v>27</v>
      </c>
      <c r="D1468" s="224"/>
      <c r="E1468" s="224"/>
      <c r="F1468" s="224">
        <v>5071</v>
      </c>
      <c r="G1468" s="224">
        <v>3552</v>
      </c>
      <c r="H1468" s="224"/>
      <c r="I1468" s="224"/>
      <c r="J1468" s="224"/>
      <c r="K1468" s="224"/>
    </row>
    <row r="1469" spans="1:11">
      <c r="A1469" s="23" t="s">
        <v>67</v>
      </c>
      <c r="B1469" s="23">
        <v>21</v>
      </c>
      <c r="C1469" s="23">
        <v>21</v>
      </c>
      <c r="D1469" s="224"/>
      <c r="E1469" s="224">
        <v>87631</v>
      </c>
      <c r="F1469" s="224">
        <v>8705</v>
      </c>
      <c r="G1469" s="224">
        <v>32498</v>
      </c>
      <c r="H1469" s="224">
        <v>450</v>
      </c>
      <c r="I1469" s="224">
        <v>3200</v>
      </c>
      <c r="J1469" s="224">
        <v>1100</v>
      </c>
      <c r="K1469" s="224"/>
    </row>
    <row r="1470" spans="1:11">
      <c r="A1470" s="23" t="s">
        <v>67</v>
      </c>
      <c r="B1470" s="23">
        <v>21</v>
      </c>
      <c r="C1470" s="23">
        <v>26</v>
      </c>
      <c r="D1470" s="224"/>
      <c r="E1470" s="224"/>
      <c r="F1470" s="224"/>
      <c r="G1470" s="224"/>
      <c r="H1470" s="224">
        <v>250</v>
      </c>
      <c r="I1470" s="224">
        <v>117569</v>
      </c>
      <c r="J1470" s="224"/>
      <c r="K1470" s="224"/>
    </row>
    <row r="1471" spans="1:11">
      <c r="A1471" s="23" t="s">
        <v>67</v>
      </c>
      <c r="B1471" s="23">
        <v>21</v>
      </c>
      <c r="C1471" s="23">
        <v>27</v>
      </c>
      <c r="D1471" s="224"/>
      <c r="E1471" s="224">
        <v>270738</v>
      </c>
      <c r="F1471" s="224">
        <v>173646</v>
      </c>
      <c r="G1471" s="224">
        <v>197016</v>
      </c>
      <c r="H1471" s="224">
        <v>1200</v>
      </c>
      <c r="I1471" s="224">
        <v>13000</v>
      </c>
      <c r="J1471" s="224">
        <v>500</v>
      </c>
      <c r="K1471" s="224"/>
    </row>
    <row r="1472" spans="1:11">
      <c r="A1472" s="23" t="s">
        <v>67</v>
      </c>
      <c r="B1472" s="23">
        <v>21</v>
      </c>
      <c r="C1472" s="23">
        <v>33</v>
      </c>
      <c r="D1472" s="224"/>
      <c r="E1472" s="224"/>
      <c r="F1472" s="224"/>
      <c r="G1472" s="224"/>
      <c r="H1472" s="224">
        <v>1750</v>
      </c>
      <c r="I1472" s="224"/>
      <c r="J1472" s="224"/>
      <c r="K1472" s="224"/>
    </row>
    <row r="1473" spans="1:11">
      <c r="A1473" s="23" t="s">
        <v>67</v>
      </c>
      <c r="B1473" s="23">
        <v>21</v>
      </c>
      <c r="C1473" s="23">
        <v>34</v>
      </c>
      <c r="D1473" s="224"/>
      <c r="E1473" s="224">
        <v>5547</v>
      </c>
      <c r="F1473" s="224"/>
      <c r="G1473" s="224">
        <v>1278</v>
      </c>
      <c r="H1473" s="224"/>
      <c r="I1473" s="224"/>
      <c r="J1473" s="224"/>
      <c r="K1473" s="224"/>
    </row>
    <row r="1474" spans="1:11">
      <c r="A1474" s="23" t="s">
        <v>67</v>
      </c>
      <c r="B1474" s="23">
        <v>23</v>
      </c>
      <c r="C1474" s="23">
        <v>27</v>
      </c>
      <c r="D1474" s="224"/>
      <c r="E1474" s="224"/>
      <c r="F1474" s="224">
        <v>6404</v>
      </c>
      <c r="G1474" s="224">
        <v>4270</v>
      </c>
      <c r="H1474" s="224"/>
      <c r="I1474" s="224"/>
      <c r="J1474" s="224"/>
      <c r="K1474" s="224"/>
    </row>
    <row r="1475" spans="1:11">
      <c r="A1475" s="23" t="s">
        <v>67</v>
      </c>
      <c r="B1475" s="23">
        <v>24</v>
      </c>
      <c r="C1475" s="23">
        <v>26</v>
      </c>
      <c r="D1475" s="224"/>
      <c r="E1475" s="224"/>
      <c r="F1475" s="224"/>
      <c r="G1475" s="224"/>
      <c r="H1475" s="224"/>
      <c r="I1475" s="224">
        <v>88551</v>
      </c>
      <c r="J1475" s="224"/>
      <c r="K1475" s="224"/>
    </row>
    <row r="1476" spans="1:11">
      <c r="A1476" s="23" t="s">
        <v>243</v>
      </c>
      <c r="B1476" s="23">
        <v>21</v>
      </c>
      <c r="C1476" s="23">
        <v>21</v>
      </c>
      <c r="D1476" s="224">
        <v>250</v>
      </c>
      <c r="E1476" s="224">
        <v>186717</v>
      </c>
      <c r="F1476" s="224">
        <v>54479</v>
      </c>
      <c r="G1476" s="224">
        <v>79871</v>
      </c>
      <c r="H1476" s="224">
        <v>3660</v>
      </c>
      <c r="I1476" s="224">
        <v>11770</v>
      </c>
      <c r="J1476" s="224">
        <v>1500</v>
      </c>
      <c r="K1476" s="224"/>
    </row>
    <row r="1477" spans="1:11">
      <c r="A1477" s="23" t="s">
        <v>243</v>
      </c>
      <c r="B1477" s="23">
        <v>21</v>
      </c>
      <c r="C1477" s="23">
        <v>24</v>
      </c>
      <c r="D1477" s="224"/>
      <c r="E1477" s="224"/>
      <c r="F1477" s="224"/>
      <c r="G1477" s="224"/>
      <c r="H1477" s="224"/>
      <c r="I1477" s="224">
        <v>6750</v>
      </c>
      <c r="J1477" s="224"/>
      <c r="K1477" s="224"/>
    </row>
    <row r="1478" spans="1:11">
      <c r="A1478" s="23" t="s">
        <v>243</v>
      </c>
      <c r="B1478" s="23">
        <v>21</v>
      </c>
      <c r="C1478" s="23">
        <v>26</v>
      </c>
      <c r="D1478" s="224"/>
      <c r="E1478" s="224">
        <v>101782</v>
      </c>
      <c r="F1478" s="224">
        <v>8288</v>
      </c>
      <c r="G1478" s="224">
        <v>36812</v>
      </c>
      <c r="H1478" s="224">
        <v>8700</v>
      </c>
      <c r="I1478" s="224">
        <v>294200</v>
      </c>
      <c r="J1478" s="224"/>
      <c r="K1478" s="224"/>
    </row>
    <row r="1479" spans="1:11">
      <c r="A1479" s="23" t="s">
        <v>243</v>
      </c>
      <c r="B1479" s="23">
        <v>21</v>
      </c>
      <c r="C1479" s="23">
        <v>27</v>
      </c>
      <c r="D1479" s="224">
        <v>2650</v>
      </c>
      <c r="E1479" s="224">
        <v>524331</v>
      </c>
      <c r="F1479" s="224">
        <v>371046</v>
      </c>
      <c r="G1479" s="224">
        <v>417108</v>
      </c>
      <c r="H1479" s="224">
        <v>12150</v>
      </c>
      <c r="I1479" s="224">
        <v>4694725</v>
      </c>
      <c r="J1479" s="224">
        <v>100</v>
      </c>
      <c r="K1479" s="224"/>
    </row>
    <row r="1480" spans="1:11">
      <c r="A1480" s="23" t="s">
        <v>243</v>
      </c>
      <c r="B1480" s="23">
        <v>21</v>
      </c>
      <c r="C1480" s="23">
        <v>31</v>
      </c>
      <c r="D1480" s="224">
        <v>1600</v>
      </c>
      <c r="E1480" s="224">
        <v>7200</v>
      </c>
      <c r="F1480" s="224">
        <v>1751</v>
      </c>
      <c r="G1480" s="224">
        <v>1554</v>
      </c>
      <c r="H1480" s="224">
        <v>1600</v>
      </c>
      <c r="I1480" s="224">
        <v>8495</v>
      </c>
      <c r="J1480" s="224">
        <v>5425</v>
      </c>
      <c r="K1480" s="224"/>
    </row>
    <row r="1481" spans="1:11">
      <c r="A1481" s="23" t="s">
        <v>243</v>
      </c>
      <c r="B1481" s="23">
        <v>21</v>
      </c>
      <c r="C1481" s="23">
        <v>32</v>
      </c>
      <c r="D1481" s="224"/>
      <c r="E1481" s="224"/>
      <c r="F1481" s="224"/>
      <c r="G1481" s="224"/>
      <c r="H1481" s="224">
        <v>5500</v>
      </c>
      <c r="I1481" s="224"/>
      <c r="J1481" s="224"/>
      <c r="K1481" s="224"/>
    </row>
    <row r="1482" spans="1:11">
      <c r="A1482" s="23" t="s">
        <v>243</v>
      </c>
      <c r="B1482" s="23">
        <v>21</v>
      </c>
      <c r="C1482" s="23">
        <v>33</v>
      </c>
      <c r="D1482" s="224"/>
      <c r="E1482" s="224"/>
      <c r="F1482" s="224"/>
      <c r="G1482" s="224"/>
      <c r="H1482" s="224">
        <v>6000</v>
      </c>
      <c r="I1482" s="224">
        <v>2600</v>
      </c>
      <c r="J1482" s="224"/>
      <c r="K1482" s="224"/>
    </row>
    <row r="1483" spans="1:11">
      <c r="A1483" s="23" t="s">
        <v>243</v>
      </c>
      <c r="B1483" s="23">
        <v>21</v>
      </c>
      <c r="C1483" s="23">
        <v>34</v>
      </c>
      <c r="D1483" s="224"/>
      <c r="E1483" s="224">
        <v>14125</v>
      </c>
      <c r="F1483" s="224"/>
      <c r="G1483" s="224">
        <v>25574</v>
      </c>
      <c r="H1483" s="224"/>
      <c r="I1483" s="224"/>
      <c r="J1483" s="224"/>
      <c r="K1483" s="224"/>
    </row>
    <row r="1484" spans="1:11">
      <c r="A1484" s="23" t="s">
        <v>243</v>
      </c>
      <c r="B1484" s="23">
        <v>23</v>
      </c>
      <c r="C1484" s="23">
        <v>27</v>
      </c>
      <c r="D1484" s="224"/>
      <c r="E1484" s="224"/>
      <c r="F1484" s="224">
        <v>7091</v>
      </c>
      <c r="G1484" s="224">
        <v>4902</v>
      </c>
      <c r="H1484" s="224"/>
      <c r="I1484" s="224"/>
      <c r="J1484" s="224"/>
      <c r="K1484" s="224"/>
    </row>
    <row r="1485" spans="1:11">
      <c r="A1485" s="23" t="s">
        <v>243</v>
      </c>
      <c r="B1485" s="23">
        <v>24</v>
      </c>
      <c r="C1485" s="23">
        <v>27</v>
      </c>
      <c r="D1485" s="224"/>
      <c r="E1485" s="224">
        <v>169762</v>
      </c>
      <c r="F1485" s="224">
        <v>236790</v>
      </c>
      <c r="G1485" s="224">
        <v>201414</v>
      </c>
      <c r="H1485" s="224"/>
      <c r="I1485" s="224"/>
      <c r="J1485" s="224"/>
      <c r="K1485" s="224"/>
    </row>
    <row r="1486" spans="1:11">
      <c r="A1486" s="23" t="s">
        <v>362</v>
      </c>
      <c r="B1486" s="23">
        <v>21</v>
      </c>
      <c r="C1486" s="23">
        <v>21</v>
      </c>
      <c r="D1486" s="224"/>
      <c r="E1486" s="224">
        <v>253859</v>
      </c>
      <c r="F1486" s="224">
        <v>52970</v>
      </c>
      <c r="G1486" s="224">
        <v>105786</v>
      </c>
      <c r="H1486" s="224">
        <v>750</v>
      </c>
      <c r="I1486" s="224"/>
      <c r="J1486" s="224"/>
      <c r="K1486" s="224"/>
    </row>
    <row r="1487" spans="1:11">
      <c r="A1487" s="23" t="s">
        <v>362</v>
      </c>
      <c r="B1487" s="23">
        <v>21</v>
      </c>
      <c r="C1487" s="23">
        <v>25</v>
      </c>
      <c r="D1487" s="224"/>
      <c r="E1487" s="224"/>
      <c r="F1487" s="224">
        <v>58365</v>
      </c>
      <c r="G1487" s="224">
        <v>60455</v>
      </c>
      <c r="H1487" s="224"/>
      <c r="I1487" s="224"/>
      <c r="J1487" s="224"/>
      <c r="K1487" s="224"/>
    </row>
    <row r="1488" spans="1:11">
      <c r="A1488" s="23" t="s">
        <v>362</v>
      </c>
      <c r="B1488" s="23">
        <v>21</v>
      </c>
      <c r="C1488" s="23">
        <v>26</v>
      </c>
      <c r="D1488" s="224"/>
      <c r="E1488" s="224"/>
      <c r="F1488" s="224">
        <v>36281</v>
      </c>
      <c r="G1488" s="224">
        <v>19710</v>
      </c>
      <c r="H1488" s="224">
        <v>5750</v>
      </c>
      <c r="I1488" s="224">
        <v>636000</v>
      </c>
      <c r="J1488" s="224">
        <v>500</v>
      </c>
      <c r="K1488" s="224"/>
    </row>
    <row r="1489" spans="1:11">
      <c r="A1489" s="23" t="s">
        <v>362</v>
      </c>
      <c r="B1489" s="23">
        <v>21</v>
      </c>
      <c r="C1489" s="23">
        <v>27</v>
      </c>
      <c r="D1489" s="224"/>
      <c r="E1489" s="224">
        <v>1140161</v>
      </c>
      <c r="F1489" s="224">
        <v>1214397</v>
      </c>
      <c r="G1489" s="224">
        <v>1186844</v>
      </c>
      <c r="H1489" s="224">
        <v>3000</v>
      </c>
      <c r="I1489" s="224">
        <v>2500</v>
      </c>
      <c r="J1489" s="224">
        <v>700</v>
      </c>
      <c r="K1489" s="224"/>
    </row>
    <row r="1490" spans="1:11">
      <c r="A1490" s="23" t="s">
        <v>362</v>
      </c>
      <c r="B1490" s="23">
        <v>21</v>
      </c>
      <c r="C1490" s="23">
        <v>31</v>
      </c>
      <c r="D1490" s="224"/>
      <c r="E1490" s="224"/>
      <c r="F1490" s="224"/>
      <c r="G1490" s="224"/>
      <c r="H1490" s="224"/>
      <c r="I1490" s="224">
        <v>1500</v>
      </c>
      <c r="J1490" s="224">
        <v>500</v>
      </c>
      <c r="K1490" s="224"/>
    </row>
    <row r="1491" spans="1:11">
      <c r="A1491" s="23" t="s">
        <v>362</v>
      </c>
      <c r="B1491" s="23">
        <v>21</v>
      </c>
      <c r="C1491" s="23">
        <v>33</v>
      </c>
      <c r="D1491" s="224"/>
      <c r="E1491" s="224"/>
      <c r="F1491" s="224"/>
      <c r="G1491" s="224"/>
      <c r="H1491" s="224">
        <v>500</v>
      </c>
      <c r="I1491" s="224">
        <v>500</v>
      </c>
      <c r="J1491" s="224"/>
      <c r="K1491" s="224"/>
    </row>
    <row r="1492" spans="1:11">
      <c r="A1492" s="23" t="s">
        <v>362</v>
      </c>
      <c r="B1492" s="23">
        <v>23</v>
      </c>
      <c r="C1492" s="23">
        <v>26</v>
      </c>
      <c r="D1492" s="224"/>
      <c r="E1492" s="224">
        <v>68814</v>
      </c>
      <c r="F1492" s="224"/>
      <c r="G1492" s="224">
        <v>36369</v>
      </c>
      <c r="H1492" s="224">
        <v>515</v>
      </c>
      <c r="I1492" s="224">
        <v>49000</v>
      </c>
      <c r="J1492" s="224"/>
      <c r="K1492" s="224"/>
    </row>
    <row r="1493" spans="1:11">
      <c r="A1493" s="23" t="s">
        <v>362</v>
      </c>
      <c r="B1493" s="23">
        <v>23</v>
      </c>
      <c r="C1493" s="23">
        <v>27</v>
      </c>
      <c r="D1493" s="224"/>
      <c r="E1493" s="224"/>
      <c r="F1493" s="224">
        <v>10584</v>
      </c>
      <c r="G1493" s="224">
        <v>5718</v>
      </c>
      <c r="H1493" s="224"/>
      <c r="I1493" s="224"/>
      <c r="J1493" s="224"/>
      <c r="K1493" s="224"/>
    </row>
    <row r="1494" spans="1:11">
      <c r="A1494" s="23" t="s">
        <v>362</v>
      </c>
      <c r="B1494" s="23">
        <v>24</v>
      </c>
      <c r="C1494" s="23">
        <v>26</v>
      </c>
      <c r="D1494" s="224"/>
      <c r="E1494" s="224">
        <v>230592</v>
      </c>
      <c r="F1494" s="224">
        <v>77916</v>
      </c>
      <c r="G1494" s="224">
        <v>142396</v>
      </c>
      <c r="H1494" s="224"/>
      <c r="I1494" s="224">
        <v>135744</v>
      </c>
      <c r="J1494" s="224"/>
      <c r="K1494" s="224"/>
    </row>
    <row r="1495" spans="1:11">
      <c r="A1495" s="23" t="s">
        <v>362</v>
      </c>
      <c r="B1495" s="23">
        <v>24</v>
      </c>
      <c r="C1495" s="23">
        <v>27</v>
      </c>
      <c r="D1495" s="224"/>
      <c r="E1495" s="224">
        <v>3000</v>
      </c>
      <c r="F1495" s="224">
        <v>15755</v>
      </c>
      <c r="G1495" s="224">
        <v>8288</v>
      </c>
      <c r="H1495" s="224"/>
      <c r="I1495" s="224"/>
      <c r="J1495" s="224"/>
      <c r="K1495" s="224"/>
    </row>
    <row r="1496" spans="1:11">
      <c r="A1496" s="23" t="s">
        <v>935</v>
      </c>
      <c r="B1496" s="23">
        <v>21</v>
      </c>
      <c r="C1496" s="23">
        <v>21</v>
      </c>
      <c r="D1496" s="224"/>
      <c r="E1496" s="224">
        <v>25520</v>
      </c>
      <c r="F1496" s="224"/>
      <c r="G1496" s="224">
        <v>5568</v>
      </c>
      <c r="H1496" s="224"/>
      <c r="I1496" s="224"/>
      <c r="J1496" s="224"/>
      <c r="K1496" s="224"/>
    </row>
    <row r="1497" spans="1:11">
      <c r="A1497" s="23" t="s">
        <v>935</v>
      </c>
      <c r="B1497" s="23">
        <v>21</v>
      </c>
      <c r="C1497" s="23">
        <v>26</v>
      </c>
      <c r="D1497" s="224"/>
      <c r="E1497" s="224"/>
      <c r="F1497" s="224"/>
      <c r="G1497" s="224"/>
      <c r="H1497" s="224">
        <v>3000</v>
      </c>
      <c r="I1497" s="224">
        <v>167800</v>
      </c>
      <c r="J1497" s="224"/>
      <c r="K1497" s="224"/>
    </row>
    <row r="1498" spans="1:11">
      <c r="A1498" s="23" t="s">
        <v>935</v>
      </c>
      <c r="B1498" s="23">
        <v>21</v>
      </c>
      <c r="C1498" s="23">
        <v>27</v>
      </c>
      <c r="D1498" s="224"/>
      <c r="E1498" s="224">
        <v>93000</v>
      </c>
      <c r="F1498" s="224"/>
      <c r="G1498" s="224">
        <v>20289</v>
      </c>
      <c r="H1498" s="224"/>
      <c r="I1498" s="224"/>
      <c r="J1498" s="224"/>
      <c r="K1498" s="224"/>
    </row>
    <row r="1499" spans="1:11">
      <c r="A1499" s="23" t="s">
        <v>935</v>
      </c>
      <c r="B1499" s="23">
        <v>23</v>
      </c>
      <c r="C1499" s="23">
        <v>27</v>
      </c>
      <c r="D1499" s="224"/>
      <c r="E1499" s="224">
        <v>66000</v>
      </c>
      <c r="F1499" s="224"/>
      <c r="G1499" s="224">
        <v>14399</v>
      </c>
      <c r="H1499" s="224"/>
      <c r="I1499" s="224"/>
      <c r="J1499" s="224"/>
      <c r="K1499" s="224"/>
    </row>
    <row r="1500" spans="1:11">
      <c r="A1500" s="23" t="s">
        <v>364</v>
      </c>
      <c r="B1500" s="23">
        <v>21</v>
      </c>
      <c r="C1500" s="23">
        <v>21</v>
      </c>
      <c r="D1500" s="224"/>
      <c r="E1500" s="224"/>
      <c r="F1500" s="224">
        <v>23450</v>
      </c>
      <c r="G1500" s="224">
        <v>14434</v>
      </c>
      <c r="H1500" s="224">
        <v>700</v>
      </c>
      <c r="I1500" s="224">
        <v>900</v>
      </c>
      <c r="J1500" s="224"/>
      <c r="K1500" s="224"/>
    </row>
    <row r="1501" spans="1:11">
      <c r="A1501" s="23" t="s">
        <v>364</v>
      </c>
      <c r="B1501" s="23">
        <v>21</v>
      </c>
      <c r="C1501" s="23">
        <v>26</v>
      </c>
      <c r="D1501" s="224"/>
      <c r="E1501" s="224"/>
      <c r="F1501" s="224"/>
      <c r="G1501" s="224"/>
      <c r="H1501" s="224">
        <v>5550</v>
      </c>
      <c r="I1501" s="224">
        <v>327060</v>
      </c>
      <c r="J1501" s="224"/>
      <c r="K1501" s="224"/>
    </row>
    <row r="1502" spans="1:11">
      <c r="A1502" s="23" t="s">
        <v>364</v>
      </c>
      <c r="B1502" s="23">
        <v>21</v>
      </c>
      <c r="C1502" s="23">
        <v>27</v>
      </c>
      <c r="D1502" s="224"/>
      <c r="E1502" s="224">
        <v>515014</v>
      </c>
      <c r="F1502" s="224">
        <v>210797</v>
      </c>
      <c r="G1502" s="224">
        <v>346048</v>
      </c>
      <c r="H1502" s="224">
        <v>1500</v>
      </c>
      <c r="I1502" s="224"/>
      <c r="J1502" s="224"/>
      <c r="K1502" s="224"/>
    </row>
    <row r="1503" spans="1:11">
      <c r="A1503" s="23" t="s">
        <v>364</v>
      </c>
      <c r="B1503" s="23">
        <v>21</v>
      </c>
      <c r="C1503" s="23">
        <v>31</v>
      </c>
      <c r="D1503" s="224"/>
      <c r="E1503" s="224"/>
      <c r="F1503" s="224"/>
      <c r="G1503" s="224"/>
      <c r="H1503" s="224"/>
      <c r="I1503" s="224">
        <v>1000</v>
      </c>
      <c r="J1503" s="224"/>
      <c r="K1503" s="224"/>
    </row>
    <row r="1504" spans="1:11">
      <c r="A1504" s="23" t="s">
        <v>364</v>
      </c>
      <c r="B1504" s="23">
        <v>21</v>
      </c>
      <c r="C1504" s="23">
        <v>32</v>
      </c>
      <c r="D1504" s="224"/>
      <c r="E1504" s="224"/>
      <c r="F1504" s="224"/>
      <c r="G1504" s="224"/>
      <c r="H1504" s="224">
        <v>1500</v>
      </c>
      <c r="I1504" s="224">
        <v>2500</v>
      </c>
      <c r="J1504" s="224"/>
      <c r="K1504" s="224"/>
    </row>
    <row r="1505" spans="1:11">
      <c r="A1505" s="23" t="s">
        <v>364</v>
      </c>
      <c r="B1505" s="23">
        <v>21</v>
      </c>
      <c r="C1505" s="23">
        <v>34</v>
      </c>
      <c r="D1505" s="224"/>
      <c r="E1505" s="224">
        <v>8489</v>
      </c>
      <c r="F1505" s="224"/>
      <c r="G1505" s="224">
        <v>1973</v>
      </c>
      <c r="H1505" s="224"/>
      <c r="I1505" s="224"/>
      <c r="J1505" s="224"/>
      <c r="K1505" s="224"/>
    </row>
    <row r="1506" spans="1:11">
      <c r="A1506" s="23" t="s">
        <v>364</v>
      </c>
      <c r="B1506" s="23">
        <v>24</v>
      </c>
      <c r="C1506" s="23">
        <v>26</v>
      </c>
      <c r="D1506" s="224"/>
      <c r="E1506" s="224"/>
      <c r="F1506" s="224"/>
      <c r="G1506" s="224"/>
      <c r="H1506" s="224"/>
      <c r="I1506" s="224">
        <v>187941</v>
      </c>
      <c r="J1506" s="224"/>
      <c r="K1506" s="224"/>
    </row>
    <row r="1507" spans="1:11">
      <c r="A1507" s="23" t="s">
        <v>364</v>
      </c>
      <c r="B1507" s="23">
        <v>24</v>
      </c>
      <c r="C1507" s="23">
        <v>27</v>
      </c>
      <c r="D1507" s="224"/>
      <c r="E1507" s="224"/>
      <c r="F1507" s="224"/>
      <c r="G1507" s="224"/>
      <c r="H1507" s="224">
        <v>1250</v>
      </c>
      <c r="I1507" s="224"/>
      <c r="J1507" s="224"/>
      <c r="K1507" s="224"/>
    </row>
    <row r="1508" spans="1:11">
      <c r="A1508" s="23" t="s">
        <v>961</v>
      </c>
      <c r="B1508" s="23">
        <v>21</v>
      </c>
      <c r="C1508" s="23">
        <v>21</v>
      </c>
      <c r="D1508" s="224"/>
      <c r="E1508" s="224">
        <v>92892</v>
      </c>
      <c r="F1508" s="224"/>
      <c r="G1508" s="224">
        <v>24476</v>
      </c>
      <c r="H1508" s="224"/>
      <c r="I1508" s="224"/>
      <c r="J1508" s="224"/>
      <c r="K1508" s="224"/>
    </row>
    <row r="1509" spans="1:11">
      <c r="A1509" s="23" t="s">
        <v>961</v>
      </c>
      <c r="B1509" s="23">
        <v>21</v>
      </c>
      <c r="C1509" s="23">
        <v>24</v>
      </c>
      <c r="D1509" s="224"/>
      <c r="E1509" s="224"/>
      <c r="F1509" s="224"/>
      <c r="G1509" s="224"/>
      <c r="H1509" s="224"/>
      <c r="I1509" s="224">
        <v>70000</v>
      </c>
      <c r="J1509" s="224"/>
      <c r="K1509" s="224"/>
    </row>
    <row r="1510" spans="1:11">
      <c r="A1510" s="23" t="s">
        <v>961</v>
      </c>
      <c r="B1510" s="23">
        <v>21</v>
      </c>
      <c r="C1510" s="23">
        <v>26</v>
      </c>
      <c r="D1510" s="224"/>
      <c r="E1510" s="224"/>
      <c r="F1510" s="224"/>
      <c r="G1510" s="224"/>
      <c r="H1510" s="224"/>
      <c r="I1510" s="224">
        <v>120000</v>
      </c>
      <c r="J1510" s="224"/>
      <c r="K1510" s="224"/>
    </row>
    <row r="1511" spans="1:11">
      <c r="A1511" s="23" t="s">
        <v>961</v>
      </c>
      <c r="B1511" s="23">
        <v>21</v>
      </c>
      <c r="C1511" s="23">
        <v>27</v>
      </c>
      <c r="D1511" s="224"/>
      <c r="E1511" s="224">
        <v>38249</v>
      </c>
      <c r="F1511" s="224">
        <v>139893</v>
      </c>
      <c r="G1511" s="224">
        <v>85409</v>
      </c>
      <c r="H1511" s="224"/>
      <c r="I1511" s="224">
        <v>60000</v>
      </c>
      <c r="J1511" s="224"/>
      <c r="K1511" s="224"/>
    </row>
    <row r="1512" spans="1:11">
      <c r="A1512" s="23" t="s">
        <v>961</v>
      </c>
      <c r="B1512" s="23">
        <v>24</v>
      </c>
      <c r="C1512" s="23">
        <v>27</v>
      </c>
      <c r="D1512" s="224"/>
      <c r="E1512" s="224">
        <v>38250</v>
      </c>
      <c r="F1512" s="224"/>
      <c r="G1512" s="224">
        <v>10079</v>
      </c>
      <c r="H1512" s="224"/>
      <c r="I1512" s="224"/>
      <c r="J1512" s="224"/>
      <c r="K1512" s="224"/>
    </row>
    <row r="1513" spans="1:11">
      <c r="A1513" s="23" t="s">
        <v>366</v>
      </c>
      <c r="B1513" s="23">
        <v>24</v>
      </c>
      <c r="C1513" s="23">
        <v>27</v>
      </c>
      <c r="D1513" s="224"/>
      <c r="E1513" s="224"/>
      <c r="F1513" s="224"/>
      <c r="G1513" s="224"/>
      <c r="H1513" s="224">
        <v>131050</v>
      </c>
      <c r="I1513" s="224"/>
      <c r="J1513" s="224"/>
      <c r="K1513" s="224"/>
    </row>
    <row r="1514" spans="1:11">
      <c r="A1514" s="23" t="s">
        <v>368</v>
      </c>
      <c r="B1514" s="23">
        <v>21</v>
      </c>
      <c r="C1514" s="23">
        <v>21</v>
      </c>
      <c r="D1514" s="224"/>
      <c r="E1514" s="224">
        <v>69300</v>
      </c>
      <c r="F1514" s="224"/>
      <c r="G1514" s="224">
        <v>22969</v>
      </c>
      <c r="H1514" s="224"/>
      <c r="I1514" s="224"/>
      <c r="J1514" s="224"/>
      <c r="K1514" s="224"/>
    </row>
    <row r="1515" spans="1:11">
      <c r="A1515" s="23" t="s">
        <v>368</v>
      </c>
      <c r="B1515" s="23">
        <v>21</v>
      </c>
      <c r="C1515" s="23">
        <v>26</v>
      </c>
      <c r="D1515" s="224">
        <v>2000</v>
      </c>
      <c r="E1515" s="224">
        <v>64191</v>
      </c>
      <c r="F1515" s="224"/>
      <c r="G1515" s="224">
        <v>26967</v>
      </c>
      <c r="H1515" s="224"/>
      <c r="I1515" s="224">
        <v>115250</v>
      </c>
      <c r="J1515" s="224"/>
      <c r="K1515" s="224"/>
    </row>
    <row r="1516" spans="1:11">
      <c r="A1516" s="23" t="s">
        <v>368</v>
      </c>
      <c r="B1516" s="23">
        <v>21</v>
      </c>
      <c r="C1516" s="23">
        <v>27</v>
      </c>
      <c r="D1516" s="224"/>
      <c r="E1516" s="224">
        <v>120799</v>
      </c>
      <c r="F1516" s="224">
        <v>152817</v>
      </c>
      <c r="G1516" s="224">
        <v>139052</v>
      </c>
      <c r="H1516" s="224">
        <v>96792</v>
      </c>
      <c r="I1516" s="224"/>
      <c r="J1516" s="224"/>
      <c r="K1516" s="224"/>
    </row>
    <row r="1517" spans="1:11">
      <c r="A1517" s="23" t="s">
        <v>368</v>
      </c>
      <c r="B1517" s="23">
        <v>21</v>
      </c>
      <c r="C1517" s="23">
        <v>31</v>
      </c>
      <c r="D1517" s="224"/>
      <c r="E1517" s="224"/>
      <c r="F1517" s="224"/>
      <c r="G1517" s="224"/>
      <c r="H1517" s="224"/>
      <c r="I1517" s="224">
        <v>37750</v>
      </c>
      <c r="J1517" s="224">
        <v>800</v>
      </c>
      <c r="K1517" s="224"/>
    </row>
    <row r="1518" spans="1:11">
      <c r="A1518" s="23" t="s">
        <v>368</v>
      </c>
      <c r="B1518" s="23">
        <v>21</v>
      </c>
      <c r="C1518" s="23">
        <v>33</v>
      </c>
      <c r="D1518" s="224"/>
      <c r="E1518" s="224"/>
      <c r="F1518" s="224"/>
      <c r="G1518" s="224"/>
      <c r="H1518" s="224">
        <v>7750</v>
      </c>
      <c r="I1518" s="224"/>
      <c r="J1518" s="224"/>
      <c r="K1518" s="224"/>
    </row>
    <row r="1519" spans="1:11">
      <c r="A1519" s="23" t="s">
        <v>368</v>
      </c>
      <c r="B1519" s="23">
        <v>24</v>
      </c>
      <c r="C1519" s="23">
        <v>27</v>
      </c>
      <c r="D1519" s="224"/>
      <c r="E1519" s="224">
        <v>79814</v>
      </c>
      <c r="F1519" s="224">
        <v>17944</v>
      </c>
      <c r="G1519" s="224">
        <v>43010</v>
      </c>
      <c r="H1519" s="224">
        <v>11932</v>
      </c>
      <c r="I1519" s="224"/>
      <c r="J1519" s="224"/>
      <c r="K1519" s="224"/>
    </row>
    <row r="1520" spans="1:11">
      <c r="A1520" s="23" t="s">
        <v>370</v>
      </c>
      <c r="B1520" s="23">
        <v>21</v>
      </c>
      <c r="C1520" s="23">
        <v>21</v>
      </c>
      <c r="D1520" s="224"/>
      <c r="E1520" s="224">
        <v>604420</v>
      </c>
      <c r="F1520" s="224">
        <v>513313</v>
      </c>
      <c r="G1520" s="224">
        <v>367934</v>
      </c>
      <c r="H1520" s="224">
        <v>15300</v>
      </c>
      <c r="I1520" s="224"/>
      <c r="J1520" s="224"/>
      <c r="K1520" s="224"/>
    </row>
    <row r="1521" spans="1:11">
      <c r="A1521" s="23" t="s">
        <v>370</v>
      </c>
      <c r="B1521" s="23">
        <v>21</v>
      </c>
      <c r="C1521" s="23">
        <v>23</v>
      </c>
      <c r="D1521" s="224"/>
      <c r="E1521" s="224">
        <v>266343</v>
      </c>
      <c r="F1521" s="224">
        <v>187390</v>
      </c>
      <c r="G1521" s="224">
        <v>178097</v>
      </c>
      <c r="H1521" s="224"/>
      <c r="I1521" s="224"/>
      <c r="J1521" s="224"/>
      <c r="K1521" s="224"/>
    </row>
    <row r="1522" spans="1:11">
      <c r="A1522" s="23" t="s">
        <v>370</v>
      </c>
      <c r="B1522" s="23">
        <v>21</v>
      </c>
      <c r="C1522" s="23">
        <v>24</v>
      </c>
      <c r="D1522" s="224"/>
      <c r="E1522" s="224">
        <v>109525</v>
      </c>
      <c r="F1522" s="224"/>
      <c r="G1522" s="224">
        <v>38279</v>
      </c>
      <c r="H1522" s="224"/>
      <c r="I1522" s="224"/>
      <c r="J1522" s="224"/>
      <c r="K1522" s="224"/>
    </row>
    <row r="1523" spans="1:11">
      <c r="A1523" s="23" t="s">
        <v>370</v>
      </c>
      <c r="B1523" s="23">
        <v>21</v>
      </c>
      <c r="C1523" s="23">
        <v>25</v>
      </c>
      <c r="D1523" s="224"/>
      <c r="E1523" s="224"/>
      <c r="F1523" s="224">
        <v>316412</v>
      </c>
      <c r="G1523" s="224">
        <v>153233</v>
      </c>
      <c r="H1523" s="224"/>
      <c r="I1523" s="224"/>
      <c r="J1523" s="224"/>
      <c r="K1523" s="224"/>
    </row>
    <row r="1524" spans="1:11">
      <c r="A1524" s="23" t="s">
        <v>370</v>
      </c>
      <c r="B1524" s="23">
        <v>21</v>
      </c>
      <c r="C1524" s="23">
        <v>26</v>
      </c>
      <c r="D1524" s="224"/>
      <c r="E1524" s="224">
        <v>6529813</v>
      </c>
      <c r="F1524" s="224">
        <v>983408</v>
      </c>
      <c r="G1524" s="224">
        <v>2939156</v>
      </c>
      <c r="H1524" s="224">
        <v>4430</v>
      </c>
      <c r="I1524" s="224">
        <v>187100</v>
      </c>
      <c r="J1524" s="224">
        <v>3400</v>
      </c>
      <c r="K1524" s="224"/>
    </row>
    <row r="1525" spans="1:11">
      <c r="A1525" s="23" t="s">
        <v>370</v>
      </c>
      <c r="B1525" s="23">
        <v>21</v>
      </c>
      <c r="C1525" s="23">
        <v>27</v>
      </c>
      <c r="D1525" s="224"/>
      <c r="E1525" s="224">
        <v>9381568</v>
      </c>
      <c r="F1525" s="224">
        <v>9175942</v>
      </c>
      <c r="G1525" s="224">
        <v>8798238</v>
      </c>
      <c r="H1525" s="224">
        <v>29178</v>
      </c>
      <c r="I1525" s="224">
        <v>65000</v>
      </c>
      <c r="J1525" s="224">
        <v>3000</v>
      </c>
      <c r="K1525" s="224"/>
    </row>
    <row r="1526" spans="1:11">
      <c r="A1526" s="23" t="s">
        <v>370</v>
      </c>
      <c r="B1526" s="23">
        <v>21</v>
      </c>
      <c r="C1526" s="23">
        <v>31</v>
      </c>
      <c r="D1526" s="224"/>
      <c r="E1526" s="224">
        <v>456959</v>
      </c>
      <c r="F1526" s="224">
        <v>4115</v>
      </c>
      <c r="G1526" s="224">
        <v>164776</v>
      </c>
      <c r="H1526" s="224"/>
      <c r="I1526" s="224">
        <v>12319</v>
      </c>
      <c r="J1526" s="224"/>
      <c r="K1526" s="224"/>
    </row>
    <row r="1527" spans="1:11">
      <c r="A1527" s="23" t="s">
        <v>370</v>
      </c>
      <c r="B1527" s="23">
        <v>24</v>
      </c>
      <c r="C1527" s="23">
        <v>26</v>
      </c>
      <c r="D1527" s="224"/>
      <c r="E1527" s="224">
        <v>68148</v>
      </c>
      <c r="F1527" s="224">
        <v>24013</v>
      </c>
      <c r="G1527" s="224">
        <v>20767</v>
      </c>
      <c r="H1527" s="224"/>
      <c r="I1527" s="224"/>
      <c r="J1527" s="224"/>
      <c r="K1527" s="224"/>
    </row>
    <row r="1528" spans="1:11">
      <c r="A1528" s="23" t="s">
        <v>370</v>
      </c>
      <c r="B1528" s="23">
        <v>24</v>
      </c>
      <c r="C1528" s="23">
        <v>27</v>
      </c>
      <c r="D1528" s="224"/>
      <c r="E1528" s="224">
        <v>2140895</v>
      </c>
      <c r="F1528" s="224">
        <v>2112</v>
      </c>
      <c r="G1528" s="224">
        <v>741330</v>
      </c>
      <c r="H1528" s="224">
        <v>66859</v>
      </c>
      <c r="I1528" s="224"/>
      <c r="J1528" s="224"/>
      <c r="K1528" s="224"/>
    </row>
    <row r="1529" spans="1:11">
      <c r="A1529" s="23" t="s">
        <v>370</v>
      </c>
      <c r="B1529" s="23">
        <v>24</v>
      </c>
      <c r="C1529" s="23">
        <v>31</v>
      </c>
      <c r="D1529" s="224"/>
      <c r="E1529" s="224">
        <v>229378</v>
      </c>
      <c r="F1529" s="224"/>
      <c r="G1529" s="224">
        <v>54227</v>
      </c>
      <c r="H1529" s="224"/>
      <c r="I1529" s="224"/>
      <c r="J1529" s="224"/>
      <c r="K1529" s="224"/>
    </row>
    <row r="1530" spans="1:11">
      <c r="A1530" s="23" t="s">
        <v>372</v>
      </c>
      <c r="B1530" s="23">
        <v>21</v>
      </c>
      <c r="C1530" s="23">
        <v>21</v>
      </c>
      <c r="D1530" s="224"/>
      <c r="E1530" s="224">
        <v>23151</v>
      </c>
      <c r="F1530" s="224"/>
      <c r="G1530" s="224">
        <v>9028</v>
      </c>
      <c r="H1530" s="224"/>
      <c r="I1530" s="224"/>
      <c r="J1530" s="224"/>
      <c r="K1530" s="224"/>
    </row>
    <row r="1531" spans="1:11">
      <c r="A1531" s="23" t="s">
        <v>372</v>
      </c>
      <c r="B1531" s="23">
        <v>21</v>
      </c>
      <c r="C1531" s="23">
        <v>26</v>
      </c>
      <c r="D1531" s="224"/>
      <c r="E1531" s="224"/>
      <c r="F1531" s="224"/>
      <c r="G1531" s="224"/>
      <c r="H1531" s="224"/>
      <c r="I1531" s="224">
        <v>86639</v>
      </c>
      <c r="J1531" s="224"/>
      <c r="K1531" s="224"/>
    </row>
    <row r="1532" spans="1:11">
      <c r="A1532" s="23" t="s">
        <v>372</v>
      </c>
      <c r="B1532" s="23">
        <v>21</v>
      </c>
      <c r="C1532" s="23">
        <v>27</v>
      </c>
      <c r="D1532" s="224"/>
      <c r="E1532" s="224">
        <v>161710</v>
      </c>
      <c r="F1532" s="224">
        <v>80167</v>
      </c>
      <c r="G1532" s="224">
        <v>129602</v>
      </c>
      <c r="H1532" s="224">
        <v>1500</v>
      </c>
      <c r="I1532" s="224">
        <v>15500</v>
      </c>
      <c r="J1532" s="224"/>
      <c r="K1532" s="224"/>
    </row>
    <row r="1533" spans="1:11">
      <c r="A1533" s="23" t="s">
        <v>372</v>
      </c>
      <c r="B1533" s="23">
        <v>21</v>
      </c>
      <c r="C1533" s="23">
        <v>33</v>
      </c>
      <c r="D1533" s="224"/>
      <c r="E1533" s="224"/>
      <c r="F1533" s="224"/>
      <c r="G1533" s="224"/>
      <c r="H1533" s="224">
        <v>5000</v>
      </c>
      <c r="I1533" s="224"/>
      <c r="J1533" s="224"/>
      <c r="K1533" s="224"/>
    </row>
    <row r="1534" spans="1:11">
      <c r="A1534" s="23" t="s">
        <v>372</v>
      </c>
      <c r="B1534" s="23">
        <v>21</v>
      </c>
      <c r="C1534" s="23">
        <v>34</v>
      </c>
      <c r="D1534" s="224"/>
      <c r="E1534" s="224"/>
      <c r="F1534" s="224"/>
      <c r="G1534" s="224"/>
      <c r="H1534" s="224"/>
      <c r="I1534" s="224">
        <v>3000</v>
      </c>
      <c r="J1534" s="224">
        <v>3339</v>
      </c>
      <c r="K1534" s="224"/>
    </row>
    <row r="1535" spans="1:11">
      <c r="A1535" s="23" t="s">
        <v>372</v>
      </c>
      <c r="B1535" s="23">
        <v>24</v>
      </c>
      <c r="C1535" s="23">
        <v>27</v>
      </c>
      <c r="D1535" s="224"/>
      <c r="E1535" s="224"/>
      <c r="F1535" s="224"/>
      <c r="G1535" s="224"/>
      <c r="H1535" s="224">
        <v>10000</v>
      </c>
      <c r="I1535" s="224">
        <v>71639</v>
      </c>
      <c r="J1535" s="224"/>
      <c r="K1535" s="224"/>
    </row>
    <row r="1536" spans="1:11">
      <c r="A1536" s="23" t="s">
        <v>374</v>
      </c>
      <c r="B1536" s="23">
        <v>21</v>
      </c>
      <c r="C1536" s="23">
        <v>21</v>
      </c>
      <c r="D1536" s="224">
        <v>300</v>
      </c>
      <c r="E1536" s="224">
        <v>739762</v>
      </c>
      <c r="F1536" s="224">
        <v>192372</v>
      </c>
      <c r="G1536" s="224">
        <v>316613</v>
      </c>
      <c r="H1536" s="224">
        <v>11000</v>
      </c>
      <c r="I1536" s="224">
        <v>106100</v>
      </c>
      <c r="J1536" s="224">
        <v>4025</v>
      </c>
      <c r="K1536" s="224">
        <v>3000</v>
      </c>
    </row>
    <row r="1537" spans="1:11">
      <c r="A1537" s="23" t="s">
        <v>374</v>
      </c>
      <c r="B1537" s="23">
        <v>21</v>
      </c>
      <c r="C1537" s="23">
        <v>25</v>
      </c>
      <c r="D1537" s="224"/>
      <c r="E1537" s="224"/>
      <c r="F1537" s="224">
        <v>220137</v>
      </c>
      <c r="G1537" s="224">
        <v>180671</v>
      </c>
      <c r="H1537" s="224"/>
      <c r="I1537" s="224"/>
      <c r="J1537" s="224"/>
      <c r="K1537" s="224"/>
    </row>
    <row r="1538" spans="1:11">
      <c r="A1538" s="23" t="s">
        <v>374</v>
      </c>
      <c r="B1538" s="23">
        <v>21</v>
      </c>
      <c r="C1538" s="23">
        <v>26</v>
      </c>
      <c r="D1538" s="224">
        <v>575</v>
      </c>
      <c r="E1538" s="224">
        <v>4307199</v>
      </c>
      <c r="F1538" s="224">
        <v>202653</v>
      </c>
      <c r="G1538" s="224">
        <v>1736889</v>
      </c>
      <c r="H1538" s="224">
        <v>30200</v>
      </c>
      <c r="I1538" s="224">
        <v>129924</v>
      </c>
      <c r="J1538" s="224">
        <v>7950</v>
      </c>
      <c r="K1538" s="224"/>
    </row>
    <row r="1539" spans="1:11">
      <c r="A1539" s="23" t="s">
        <v>374</v>
      </c>
      <c r="B1539" s="23">
        <v>21</v>
      </c>
      <c r="C1539" s="23">
        <v>27</v>
      </c>
      <c r="D1539" s="224">
        <v>1500</v>
      </c>
      <c r="E1539" s="224">
        <v>6811033</v>
      </c>
      <c r="F1539" s="224">
        <v>4120645</v>
      </c>
      <c r="G1539" s="224">
        <v>5525353</v>
      </c>
      <c r="H1539" s="224">
        <v>61600</v>
      </c>
      <c r="I1539" s="224">
        <v>471500</v>
      </c>
      <c r="J1539" s="224">
        <v>4000</v>
      </c>
      <c r="K1539" s="224"/>
    </row>
    <row r="1540" spans="1:11">
      <c r="A1540" s="23" t="s">
        <v>374</v>
      </c>
      <c r="B1540" s="23">
        <v>21</v>
      </c>
      <c r="C1540" s="23">
        <v>31</v>
      </c>
      <c r="D1540" s="224"/>
      <c r="E1540" s="224">
        <v>117669</v>
      </c>
      <c r="F1540" s="224">
        <v>28462</v>
      </c>
      <c r="G1540" s="224">
        <v>36018</v>
      </c>
      <c r="H1540" s="224">
        <v>13515</v>
      </c>
      <c r="I1540" s="224">
        <v>28099</v>
      </c>
      <c r="J1540" s="224"/>
      <c r="K1540" s="224"/>
    </row>
    <row r="1541" spans="1:11">
      <c r="A1541" s="23" t="s">
        <v>374</v>
      </c>
      <c r="B1541" s="23">
        <v>21</v>
      </c>
      <c r="C1541" s="23">
        <v>32</v>
      </c>
      <c r="D1541" s="224"/>
      <c r="E1541" s="224"/>
      <c r="F1541" s="224"/>
      <c r="G1541" s="224"/>
      <c r="H1541" s="224">
        <v>20000</v>
      </c>
      <c r="I1541" s="224"/>
      <c r="J1541" s="224"/>
      <c r="K1541" s="224"/>
    </row>
    <row r="1542" spans="1:11">
      <c r="A1542" s="23" t="s">
        <v>374</v>
      </c>
      <c r="B1542" s="23">
        <v>23</v>
      </c>
      <c r="C1542" s="23">
        <v>33</v>
      </c>
      <c r="D1542" s="224"/>
      <c r="E1542" s="224"/>
      <c r="F1542" s="224"/>
      <c r="G1542" s="224"/>
      <c r="H1542" s="224">
        <v>258435</v>
      </c>
      <c r="I1542" s="224"/>
      <c r="J1542" s="224"/>
      <c r="K1542" s="224"/>
    </row>
    <row r="1543" spans="1:11">
      <c r="A1543" s="23" t="s">
        <v>374</v>
      </c>
      <c r="B1543" s="23">
        <v>24</v>
      </c>
      <c r="C1543" s="23">
        <v>27</v>
      </c>
      <c r="D1543" s="224"/>
      <c r="E1543" s="224">
        <v>1906053</v>
      </c>
      <c r="F1543" s="224"/>
      <c r="G1543" s="224">
        <v>707353</v>
      </c>
      <c r="H1543" s="224"/>
      <c r="I1543" s="224"/>
      <c r="J1543" s="224"/>
      <c r="K1543" s="224"/>
    </row>
    <row r="1544" spans="1:11">
      <c r="A1544" s="23" t="s">
        <v>376</v>
      </c>
      <c r="B1544" s="23">
        <v>21</v>
      </c>
      <c r="C1544" s="23">
        <v>21</v>
      </c>
      <c r="D1544" s="224"/>
      <c r="E1544" s="224">
        <v>112540</v>
      </c>
      <c r="F1544" s="224">
        <v>92006</v>
      </c>
      <c r="G1544" s="224">
        <v>54666</v>
      </c>
      <c r="H1544" s="224">
        <v>500</v>
      </c>
      <c r="I1544" s="224">
        <v>6100</v>
      </c>
      <c r="J1544" s="224">
        <v>3250</v>
      </c>
      <c r="K1544" s="224"/>
    </row>
    <row r="1545" spans="1:11">
      <c r="A1545" s="23" t="s">
        <v>376</v>
      </c>
      <c r="B1545" s="23">
        <v>21</v>
      </c>
      <c r="C1545" s="23">
        <v>26</v>
      </c>
      <c r="D1545" s="224"/>
      <c r="E1545" s="224">
        <v>1199289</v>
      </c>
      <c r="F1545" s="224"/>
      <c r="G1545" s="224">
        <v>425985</v>
      </c>
      <c r="H1545" s="224">
        <v>16600</v>
      </c>
      <c r="I1545" s="224">
        <v>63750</v>
      </c>
      <c r="J1545" s="224">
        <v>1500</v>
      </c>
      <c r="K1545" s="224"/>
    </row>
    <row r="1546" spans="1:11">
      <c r="A1546" s="23" t="s">
        <v>376</v>
      </c>
      <c r="B1546" s="23">
        <v>21</v>
      </c>
      <c r="C1546" s="23">
        <v>27</v>
      </c>
      <c r="D1546" s="224"/>
      <c r="E1546" s="224">
        <v>1438574</v>
      </c>
      <c r="F1546" s="224">
        <v>887348</v>
      </c>
      <c r="G1546" s="224">
        <v>1054635</v>
      </c>
      <c r="H1546" s="224">
        <v>21500</v>
      </c>
      <c r="I1546" s="224">
        <v>100000</v>
      </c>
      <c r="J1546" s="224">
        <v>2300</v>
      </c>
      <c r="K1546" s="224"/>
    </row>
    <row r="1547" spans="1:11">
      <c r="A1547" s="23" t="s">
        <v>376</v>
      </c>
      <c r="B1547" s="23">
        <v>21</v>
      </c>
      <c r="C1547" s="23">
        <v>29</v>
      </c>
      <c r="D1547" s="224"/>
      <c r="E1547" s="224"/>
      <c r="F1547" s="224"/>
      <c r="G1547" s="224"/>
      <c r="H1547" s="224"/>
      <c r="I1547" s="224">
        <v>90000</v>
      </c>
      <c r="J1547" s="224"/>
      <c r="K1547" s="224"/>
    </row>
    <row r="1548" spans="1:11">
      <c r="A1548" s="23" t="s">
        <v>376</v>
      </c>
      <c r="B1548" s="23">
        <v>21</v>
      </c>
      <c r="C1548" s="23">
        <v>31</v>
      </c>
      <c r="D1548" s="224"/>
      <c r="E1548" s="224">
        <v>101103</v>
      </c>
      <c r="F1548" s="224"/>
      <c r="G1548" s="224">
        <v>28171</v>
      </c>
      <c r="H1548" s="224"/>
      <c r="I1548" s="224">
        <v>9500</v>
      </c>
      <c r="J1548" s="224">
        <v>850</v>
      </c>
      <c r="K1548" s="224"/>
    </row>
    <row r="1549" spans="1:11">
      <c r="A1549" s="23" t="s">
        <v>376</v>
      </c>
      <c r="B1549" s="23">
        <v>21</v>
      </c>
      <c r="C1549" s="23">
        <v>32</v>
      </c>
      <c r="D1549" s="224"/>
      <c r="E1549" s="224"/>
      <c r="F1549" s="224"/>
      <c r="G1549" s="224"/>
      <c r="H1549" s="224">
        <v>5500</v>
      </c>
      <c r="I1549" s="224"/>
      <c r="J1549" s="224"/>
      <c r="K1549" s="224"/>
    </row>
    <row r="1550" spans="1:11">
      <c r="A1550" s="23" t="s">
        <v>376</v>
      </c>
      <c r="B1550" s="23">
        <v>21</v>
      </c>
      <c r="C1550" s="23">
        <v>33</v>
      </c>
      <c r="D1550" s="224"/>
      <c r="E1550" s="224"/>
      <c r="F1550" s="224"/>
      <c r="G1550" s="224"/>
      <c r="H1550" s="224">
        <v>6000</v>
      </c>
      <c r="I1550" s="224">
        <v>2700</v>
      </c>
      <c r="J1550" s="224"/>
      <c r="K1550" s="224"/>
    </row>
    <row r="1551" spans="1:11">
      <c r="A1551" s="23" t="s">
        <v>376</v>
      </c>
      <c r="B1551" s="23">
        <v>21</v>
      </c>
      <c r="C1551" s="23">
        <v>34</v>
      </c>
      <c r="D1551" s="224"/>
      <c r="E1551" s="224">
        <v>47362</v>
      </c>
      <c r="F1551" s="224"/>
      <c r="G1551" s="224">
        <v>10823</v>
      </c>
      <c r="H1551" s="224"/>
      <c r="I1551" s="224"/>
      <c r="J1551" s="224"/>
      <c r="K1551" s="224"/>
    </row>
    <row r="1552" spans="1:11">
      <c r="A1552" s="23" t="s">
        <v>376</v>
      </c>
      <c r="B1552" s="23">
        <v>23</v>
      </c>
      <c r="C1552" s="23">
        <v>27</v>
      </c>
      <c r="D1552" s="224"/>
      <c r="E1552" s="224"/>
      <c r="F1552" s="224">
        <v>24926</v>
      </c>
      <c r="G1552" s="224">
        <v>17629</v>
      </c>
      <c r="H1552" s="224"/>
      <c r="I1552" s="224"/>
      <c r="J1552" s="224"/>
      <c r="K1552" s="224"/>
    </row>
    <row r="1553" spans="1:11">
      <c r="A1553" s="23" t="s">
        <v>376</v>
      </c>
      <c r="B1553" s="23">
        <v>24</v>
      </c>
      <c r="C1553" s="23">
        <v>27</v>
      </c>
      <c r="D1553" s="224"/>
      <c r="E1553" s="224">
        <v>632300</v>
      </c>
      <c r="F1553" s="224">
        <v>24926</v>
      </c>
      <c r="G1553" s="224">
        <v>276416</v>
      </c>
      <c r="H1553" s="224"/>
      <c r="I1553" s="224"/>
      <c r="J1553" s="224"/>
      <c r="K1553" s="224"/>
    </row>
    <row r="1554" spans="1:11">
      <c r="A1554" s="23" t="s">
        <v>378</v>
      </c>
      <c r="B1554" s="23">
        <v>21</v>
      </c>
      <c r="C1554" s="23">
        <v>26</v>
      </c>
      <c r="D1554" s="224"/>
      <c r="E1554" s="224"/>
      <c r="F1554" s="224"/>
      <c r="G1554" s="224"/>
      <c r="H1554" s="224"/>
      <c r="I1554" s="224">
        <v>56000</v>
      </c>
      <c r="J1554" s="224"/>
      <c r="K1554" s="224"/>
    </row>
    <row r="1555" spans="1:11">
      <c r="A1555" s="23" t="s">
        <v>378</v>
      </c>
      <c r="B1555" s="23">
        <v>21</v>
      </c>
      <c r="C1555" s="23">
        <v>27</v>
      </c>
      <c r="D1555" s="224"/>
      <c r="E1555" s="224">
        <v>113216</v>
      </c>
      <c r="F1555" s="224">
        <v>62231</v>
      </c>
      <c r="G1555" s="224">
        <v>91991</v>
      </c>
      <c r="H1555" s="224">
        <v>900</v>
      </c>
      <c r="I1555" s="224"/>
      <c r="J1555" s="224"/>
      <c r="K1555" s="224"/>
    </row>
    <row r="1556" spans="1:11">
      <c r="A1556" s="23" t="s">
        <v>378</v>
      </c>
      <c r="B1556" s="23">
        <v>24</v>
      </c>
      <c r="C1556" s="23">
        <v>26</v>
      </c>
      <c r="D1556" s="224"/>
      <c r="E1556" s="224"/>
      <c r="F1556" s="224"/>
      <c r="G1556" s="224"/>
      <c r="H1556" s="224"/>
      <c r="I1556" s="224">
        <v>79057</v>
      </c>
      <c r="J1556" s="224"/>
      <c r="K1556" s="224"/>
    </row>
    <row r="1557" spans="1:11">
      <c r="A1557" s="23" t="s">
        <v>380</v>
      </c>
      <c r="B1557" s="23">
        <v>21</v>
      </c>
      <c r="C1557" s="23">
        <v>21</v>
      </c>
      <c r="D1557" s="224"/>
      <c r="E1557" s="224">
        <v>56000</v>
      </c>
      <c r="F1557" s="224">
        <v>17192</v>
      </c>
      <c r="G1557" s="224">
        <v>28388</v>
      </c>
      <c r="H1557" s="224">
        <v>440</v>
      </c>
      <c r="I1557" s="224">
        <v>3533</v>
      </c>
      <c r="J1557" s="224"/>
      <c r="K1557" s="224"/>
    </row>
    <row r="1558" spans="1:11">
      <c r="A1558" s="23" t="s">
        <v>380</v>
      </c>
      <c r="B1558" s="23">
        <v>21</v>
      </c>
      <c r="C1558" s="23">
        <v>25</v>
      </c>
      <c r="D1558" s="224"/>
      <c r="E1558" s="224"/>
      <c r="F1558" s="224">
        <v>10884</v>
      </c>
      <c r="G1558" s="224">
        <v>8316</v>
      </c>
      <c r="H1558" s="224"/>
      <c r="I1558" s="224"/>
      <c r="J1558" s="224"/>
      <c r="K1558" s="224"/>
    </row>
    <row r="1559" spans="1:11">
      <c r="A1559" s="23" t="s">
        <v>380</v>
      </c>
      <c r="B1559" s="23">
        <v>21</v>
      </c>
      <c r="C1559" s="23">
        <v>26</v>
      </c>
      <c r="D1559" s="224"/>
      <c r="E1559" s="224">
        <v>423216</v>
      </c>
      <c r="F1559" s="224">
        <v>46345</v>
      </c>
      <c r="G1559" s="224">
        <v>190640</v>
      </c>
      <c r="H1559" s="224">
        <v>7708</v>
      </c>
      <c r="I1559" s="224">
        <v>11113</v>
      </c>
      <c r="J1559" s="224">
        <v>1061</v>
      </c>
      <c r="K1559" s="224"/>
    </row>
    <row r="1560" spans="1:11">
      <c r="A1560" s="23" t="s">
        <v>380</v>
      </c>
      <c r="B1560" s="23">
        <v>21</v>
      </c>
      <c r="C1560" s="23">
        <v>27</v>
      </c>
      <c r="D1560" s="224"/>
      <c r="E1560" s="224">
        <v>702732</v>
      </c>
      <c r="F1560" s="224">
        <v>231909</v>
      </c>
      <c r="G1560" s="224">
        <v>466395</v>
      </c>
      <c r="H1560" s="224">
        <v>1794</v>
      </c>
      <c r="I1560" s="224">
        <v>1556</v>
      </c>
      <c r="J1560" s="224">
        <v>380</v>
      </c>
      <c r="K1560" s="224"/>
    </row>
    <row r="1561" spans="1:11">
      <c r="A1561" s="23" t="s">
        <v>380</v>
      </c>
      <c r="B1561" s="23">
        <v>21</v>
      </c>
      <c r="C1561" s="23">
        <v>32</v>
      </c>
      <c r="D1561" s="224"/>
      <c r="E1561" s="224"/>
      <c r="F1561" s="224"/>
      <c r="G1561" s="224"/>
      <c r="H1561" s="224">
        <v>1709</v>
      </c>
      <c r="I1561" s="224"/>
      <c r="J1561" s="224"/>
      <c r="K1561" s="224"/>
    </row>
    <row r="1562" spans="1:11">
      <c r="A1562" s="23" t="s">
        <v>380</v>
      </c>
      <c r="B1562" s="23">
        <v>21</v>
      </c>
      <c r="C1562" s="23">
        <v>33</v>
      </c>
      <c r="D1562" s="224"/>
      <c r="E1562" s="224"/>
      <c r="F1562" s="224"/>
      <c r="G1562" s="224"/>
      <c r="H1562" s="224">
        <v>739</v>
      </c>
      <c r="I1562" s="224">
        <v>1297</v>
      </c>
      <c r="J1562" s="224"/>
      <c r="K1562" s="224"/>
    </row>
    <row r="1563" spans="1:11">
      <c r="A1563" s="23" t="s">
        <v>380</v>
      </c>
      <c r="B1563" s="23">
        <v>21</v>
      </c>
      <c r="C1563" s="23">
        <v>34</v>
      </c>
      <c r="D1563" s="224"/>
      <c r="E1563" s="224">
        <v>19237</v>
      </c>
      <c r="F1563" s="224"/>
      <c r="G1563" s="224">
        <v>4326</v>
      </c>
      <c r="H1563" s="224"/>
      <c r="I1563" s="224"/>
      <c r="J1563" s="224"/>
      <c r="K1563" s="224"/>
    </row>
    <row r="1564" spans="1:11">
      <c r="A1564" s="23" t="s">
        <v>380</v>
      </c>
      <c r="B1564" s="23">
        <v>24</v>
      </c>
      <c r="C1564" s="23">
        <v>27</v>
      </c>
      <c r="D1564" s="224"/>
      <c r="E1564" s="224">
        <v>10843</v>
      </c>
      <c r="F1564" s="224">
        <v>208880</v>
      </c>
      <c r="G1564" s="224">
        <v>166963</v>
      </c>
      <c r="H1564" s="224"/>
      <c r="I1564" s="224">
        <v>101</v>
      </c>
      <c r="J1564" s="224"/>
      <c r="K1564" s="224"/>
    </row>
    <row r="1565" spans="1:11">
      <c r="A1565" s="23" t="s">
        <v>382</v>
      </c>
      <c r="B1565" s="23">
        <v>21</v>
      </c>
      <c r="C1565" s="23">
        <v>21</v>
      </c>
      <c r="D1565" s="224"/>
      <c r="E1565" s="224">
        <v>189043</v>
      </c>
      <c r="F1565" s="224">
        <v>115918</v>
      </c>
      <c r="G1565" s="224">
        <v>98443</v>
      </c>
      <c r="H1565" s="224">
        <v>7500</v>
      </c>
      <c r="I1565" s="224">
        <v>15100</v>
      </c>
      <c r="J1565" s="224">
        <v>5270</v>
      </c>
      <c r="K1565" s="224"/>
    </row>
    <row r="1566" spans="1:11">
      <c r="A1566" s="23" t="s">
        <v>382</v>
      </c>
      <c r="B1566" s="23">
        <v>21</v>
      </c>
      <c r="C1566" s="23">
        <v>26</v>
      </c>
      <c r="D1566" s="224"/>
      <c r="E1566" s="224">
        <v>747391</v>
      </c>
      <c r="F1566" s="224">
        <v>17585</v>
      </c>
      <c r="G1566" s="224">
        <v>276004</v>
      </c>
      <c r="H1566" s="224"/>
      <c r="I1566" s="224"/>
      <c r="J1566" s="224"/>
      <c r="K1566" s="224"/>
    </row>
    <row r="1567" spans="1:11">
      <c r="A1567" s="23" t="s">
        <v>382</v>
      </c>
      <c r="B1567" s="23">
        <v>21</v>
      </c>
      <c r="C1567" s="23">
        <v>27</v>
      </c>
      <c r="D1567" s="224"/>
      <c r="E1567" s="224">
        <v>1436639</v>
      </c>
      <c r="F1567" s="224">
        <v>337839</v>
      </c>
      <c r="G1567" s="224">
        <v>731911</v>
      </c>
      <c r="H1567" s="224">
        <v>72300</v>
      </c>
      <c r="I1567" s="224">
        <v>914220</v>
      </c>
      <c r="J1567" s="224"/>
      <c r="K1567" s="224"/>
    </row>
    <row r="1568" spans="1:11">
      <c r="A1568" s="23" t="s">
        <v>382</v>
      </c>
      <c r="B1568" s="23">
        <v>21</v>
      </c>
      <c r="C1568" s="23">
        <v>31</v>
      </c>
      <c r="D1568" s="224"/>
      <c r="E1568" s="224">
        <v>255972</v>
      </c>
      <c r="F1568" s="224"/>
      <c r="G1568" s="224">
        <v>56584</v>
      </c>
      <c r="H1568" s="224"/>
      <c r="I1568" s="224">
        <v>121535</v>
      </c>
      <c r="J1568" s="224"/>
      <c r="K1568" s="224"/>
    </row>
    <row r="1569" spans="1:11">
      <c r="A1569" s="23" t="s">
        <v>382</v>
      </c>
      <c r="B1569" s="23">
        <v>21</v>
      </c>
      <c r="C1569" s="23">
        <v>34</v>
      </c>
      <c r="D1569" s="224"/>
      <c r="E1569" s="224">
        <v>31938</v>
      </c>
      <c r="F1569" s="224"/>
      <c r="G1569" s="224">
        <v>7070</v>
      </c>
      <c r="H1569" s="224"/>
      <c r="I1569" s="224"/>
      <c r="J1569" s="224"/>
      <c r="K1569" s="224"/>
    </row>
    <row r="1570" spans="1:11">
      <c r="A1570" s="23" t="s">
        <v>382</v>
      </c>
      <c r="B1570" s="23">
        <v>24</v>
      </c>
      <c r="C1570" s="23">
        <v>27</v>
      </c>
      <c r="D1570" s="224"/>
      <c r="E1570" s="224">
        <v>120423</v>
      </c>
      <c r="F1570" s="224">
        <v>291222</v>
      </c>
      <c r="G1570" s="224">
        <v>236715</v>
      </c>
      <c r="H1570" s="224"/>
      <c r="I1570" s="224"/>
      <c r="J1570" s="224"/>
      <c r="K1570" s="224"/>
    </row>
    <row r="1571" spans="1:11">
      <c r="A1571" s="23" t="s">
        <v>382</v>
      </c>
      <c r="B1571" s="23">
        <v>24</v>
      </c>
      <c r="C1571" s="23">
        <v>31</v>
      </c>
      <c r="D1571" s="224"/>
      <c r="E1571" s="224">
        <v>12469</v>
      </c>
      <c r="F1571" s="224"/>
      <c r="G1571" s="224">
        <v>2335</v>
      </c>
      <c r="H1571" s="224"/>
      <c r="I1571" s="224"/>
      <c r="J1571" s="224"/>
      <c r="K1571" s="224"/>
    </row>
    <row r="1572" spans="1:11">
      <c r="A1572" s="23" t="s">
        <v>270</v>
      </c>
      <c r="B1572" s="23">
        <v>21</v>
      </c>
      <c r="C1572" s="23">
        <v>21</v>
      </c>
      <c r="D1572" s="224"/>
      <c r="E1572" s="224">
        <v>100887</v>
      </c>
      <c r="F1572" s="224">
        <v>35298</v>
      </c>
      <c r="G1572" s="224">
        <v>44444</v>
      </c>
      <c r="H1572" s="224">
        <v>300</v>
      </c>
      <c r="I1572" s="224">
        <v>100</v>
      </c>
      <c r="J1572" s="224"/>
      <c r="K1572" s="224"/>
    </row>
    <row r="1573" spans="1:11">
      <c r="A1573" s="23" t="s">
        <v>270</v>
      </c>
      <c r="B1573" s="23">
        <v>21</v>
      </c>
      <c r="C1573" s="23">
        <v>25</v>
      </c>
      <c r="D1573" s="224"/>
      <c r="E1573" s="224"/>
      <c r="F1573" s="224"/>
      <c r="G1573" s="224"/>
      <c r="H1573" s="224"/>
      <c r="I1573" s="224">
        <v>110000</v>
      </c>
      <c r="J1573" s="224"/>
      <c r="K1573" s="224"/>
    </row>
    <row r="1574" spans="1:11">
      <c r="A1574" s="23" t="s">
        <v>270</v>
      </c>
      <c r="B1574" s="23">
        <v>21</v>
      </c>
      <c r="C1574" s="23">
        <v>26</v>
      </c>
      <c r="D1574" s="224"/>
      <c r="E1574" s="224">
        <v>260433</v>
      </c>
      <c r="F1574" s="224">
        <v>37016</v>
      </c>
      <c r="G1574" s="224">
        <v>116022</v>
      </c>
      <c r="H1574" s="224">
        <v>14000</v>
      </c>
      <c r="I1574" s="224">
        <v>1493756</v>
      </c>
      <c r="J1574" s="224"/>
      <c r="K1574" s="224"/>
    </row>
    <row r="1575" spans="1:11">
      <c r="A1575" s="23" t="s">
        <v>270</v>
      </c>
      <c r="B1575" s="23">
        <v>21</v>
      </c>
      <c r="C1575" s="23">
        <v>27</v>
      </c>
      <c r="D1575" s="224"/>
      <c r="E1575" s="224">
        <v>946946</v>
      </c>
      <c r="F1575" s="224">
        <v>1055928</v>
      </c>
      <c r="G1575" s="224">
        <v>977809</v>
      </c>
      <c r="H1575" s="224">
        <v>10950</v>
      </c>
      <c r="I1575" s="224">
        <v>9000</v>
      </c>
      <c r="J1575" s="224">
        <v>12500</v>
      </c>
      <c r="K1575" s="224"/>
    </row>
    <row r="1576" spans="1:11">
      <c r="A1576" s="23" t="s">
        <v>270</v>
      </c>
      <c r="B1576" s="23">
        <v>21</v>
      </c>
      <c r="C1576" s="23">
        <v>31</v>
      </c>
      <c r="D1576" s="224"/>
      <c r="E1576" s="224"/>
      <c r="F1576" s="224"/>
      <c r="G1576" s="224"/>
      <c r="H1576" s="224">
        <v>200</v>
      </c>
      <c r="I1576" s="224">
        <v>2000</v>
      </c>
      <c r="J1576" s="224">
        <v>1000</v>
      </c>
      <c r="K1576" s="224"/>
    </row>
    <row r="1577" spans="1:11">
      <c r="A1577" s="23" t="s">
        <v>270</v>
      </c>
      <c r="B1577" s="23">
        <v>24</v>
      </c>
      <c r="C1577" s="23">
        <v>27</v>
      </c>
      <c r="D1577" s="224"/>
      <c r="E1577" s="224">
        <v>370494</v>
      </c>
      <c r="F1577" s="224"/>
      <c r="G1577" s="224">
        <v>131896</v>
      </c>
      <c r="H1577" s="224"/>
      <c r="I1577" s="224"/>
      <c r="J1577" s="224"/>
      <c r="K1577" s="224"/>
    </row>
    <row r="1578" spans="1:11">
      <c r="A1578" s="23" t="s">
        <v>272</v>
      </c>
      <c r="B1578" s="23">
        <v>21</v>
      </c>
      <c r="C1578" s="23">
        <v>29</v>
      </c>
      <c r="D1578" s="224"/>
      <c r="E1578" s="224"/>
      <c r="F1578" s="224"/>
      <c r="G1578" s="224"/>
      <c r="H1578" s="224"/>
      <c r="I1578" s="224">
        <v>46854</v>
      </c>
      <c r="J1578" s="224"/>
      <c r="K1578" s="224"/>
    </row>
    <row r="1579" spans="1:11">
      <c r="A1579" s="23" t="s">
        <v>274</v>
      </c>
      <c r="B1579" s="23">
        <v>21</v>
      </c>
      <c r="C1579" s="23">
        <v>21</v>
      </c>
      <c r="D1579" s="224"/>
      <c r="E1579" s="224">
        <v>15885</v>
      </c>
      <c r="F1579" s="224"/>
      <c r="G1579" s="224">
        <v>6124</v>
      </c>
      <c r="H1579" s="224"/>
      <c r="I1579" s="224"/>
      <c r="J1579" s="224"/>
      <c r="K1579" s="224"/>
    </row>
    <row r="1580" spans="1:11">
      <c r="A1580" s="23" t="s">
        <v>274</v>
      </c>
      <c r="B1580" s="23">
        <v>21</v>
      </c>
      <c r="C1580" s="23">
        <v>26</v>
      </c>
      <c r="D1580" s="224"/>
      <c r="E1580" s="224"/>
      <c r="F1580" s="224"/>
      <c r="G1580" s="224"/>
      <c r="H1580" s="224"/>
      <c r="I1580" s="224">
        <v>27136</v>
      </c>
      <c r="J1580" s="224"/>
      <c r="K1580" s="224"/>
    </row>
    <row r="1581" spans="1:11">
      <c r="A1581" s="23" t="s">
        <v>274</v>
      </c>
      <c r="B1581" s="23">
        <v>21</v>
      </c>
      <c r="C1581" s="23">
        <v>27</v>
      </c>
      <c r="D1581" s="224"/>
      <c r="E1581" s="224">
        <v>65875</v>
      </c>
      <c r="F1581" s="224">
        <v>65992</v>
      </c>
      <c r="G1581" s="224">
        <v>83223</v>
      </c>
      <c r="H1581" s="224">
        <v>1650</v>
      </c>
      <c r="I1581" s="224">
        <v>13000</v>
      </c>
      <c r="J1581" s="224">
        <v>200</v>
      </c>
      <c r="K1581" s="224"/>
    </row>
    <row r="1582" spans="1:11">
      <c r="A1582" s="23" t="s">
        <v>274</v>
      </c>
      <c r="B1582" s="23">
        <v>24</v>
      </c>
      <c r="C1582" s="23">
        <v>26</v>
      </c>
      <c r="D1582" s="224"/>
      <c r="E1582" s="224"/>
      <c r="F1582" s="224"/>
      <c r="G1582" s="224"/>
      <c r="H1582" s="224"/>
      <c r="I1582" s="224">
        <v>48400</v>
      </c>
      <c r="J1582" s="224"/>
      <c r="K1582" s="224"/>
    </row>
    <row r="1583" spans="1:11">
      <c r="A1583" s="23" t="s">
        <v>276</v>
      </c>
      <c r="B1583" s="23">
        <v>21</v>
      </c>
      <c r="C1583" s="23">
        <v>21</v>
      </c>
      <c r="D1583" s="224"/>
      <c r="E1583" s="224">
        <v>127097</v>
      </c>
      <c r="F1583" s="224"/>
      <c r="G1583" s="224">
        <v>40899</v>
      </c>
      <c r="H1583" s="224"/>
      <c r="I1583" s="224"/>
      <c r="J1583" s="224"/>
      <c r="K1583" s="224"/>
    </row>
    <row r="1584" spans="1:11">
      <c r="A1584" s="23" t="s">
        <v>276</v>
      </c>
      <c r="B1584" s="23">
        <v>21</v>
      </c>
      <c r="C1584" s="23">
        <v>26</v>
      </c>
      <c r="D1584" s="224"/>
      <c r="E1584" s="224">
        <v>181162</v>
      </c>
      <c r="F1584" s="224"/>
      <c r="G1584" s="224">
        <v>67208</v>
      </c>
      <c r="H1584" s="224"/>
      <c r="I1584" s="224">
        <v>264696</v>
      </c>
      <c r="J1584" s="224">
        <v>1000</v>
      </c>
      <c r="K1584" s="224"/>
    </row>
    <row r="1585" spans="1:11">
      <c r="A1585" s="23" t="s">
        <v>276</v>
      </c>
      <c r="B1585" s="23">
        <v>21</v>
      </c>
      <c r="C1585" s="23">
        <v>27</v>
      </c>
      <c r="D1585" s="224"/>
      <c r="E1585" s="224">
        <v>616767</v>
      </c>
      <c r="F1585" s="224">
        <v>389662</v>
      </c>
      <c r="G1585" s="224">
        <v>471880</v>
      </c>
      <c r="H1585" s="224">
        <v>99500</v>
      </c>
      <c r="I1585" s="224">
        <v>29636</v>
      </c>
      <c r="J1585" s="224">
        <v>1000</v>
      </c>
      <c r="K1585" s="224"/>
    </row>
    <row r="1586" spans="1:11">
      <c r="A1586" s="23" t="s">
        <v>276</v>
      </c>
      <c r="B1586" s="23">
        <v>21</v>
      </c>
      <c r="C1586" s="23">
        <v>31</v>
      </c>
      <c r="D1586" s="224"/>
      <c r="E1586" s="224"/>
      <c r="F1586" s="224"/>
      <c r="G1586" s="224"/>
      <c r="H1586" s="224"/>
      <c r="I1586" s="224">
        <v>5500</v>
      </c>
      <c r="J1586" s="224">
        <v>1500</v>
      </c>
      <c r="K1586" s="224"/>
    </row>
    <row r="1587" spans="1:11">
      <c r="A1587" s="23" t="s">
        <v>276</v>
      </c>
      <c r="B1587" s="23">
        <v>24</v>
      </c>
      <c r="C1587" s="23">
        <v>27</v>
      </c>
      <c r="D1587" s="224"/>
      <c r="E1587" s="224">
        <v>32100</v>
      </c>
      <c r="F1587" s="224">
        <v>132289</v>
      </c>
      <c r="G1587" s="224">
        <v>106025</v>
      </c>
      <c r="H1587" s="224">
        <v>5694</v>
      </c>
      <c r="I1587" s="224"/>
      <c r="J1587" s="224"/>
      <c r="K1587" s="224"/>
    </row>
    <row r="1588" spans="1:11">
      <c r="A1588" s="23" t="s">
        <v>546</v>
      </c>
      <c r="B1588" s="23">
        <v>21</v>
      </c>
      <c r="C1588" s="23">
        <v>21</v>
      </c>
      <c r="D1588" s="224"/>
      <c r="E1588" s="224">
        <v>153376</v>
      </c>
      <c r="F1588" s="224">
        <v>2654</v>
      </c>
      <c r="G1588" s="224">
        <v>48047</v>
      </c>
      <c r="H1588" s="224">
        <v>500</v>
      </c>
      <c r="I1588" s="224"/>
      <c r="J1588" s="224"/>
      <c r="K1588" s="224"/>
    </row>
    <row r="1589" spans="1:11">
      <c r="A1589" s="23" t="s">
        <v>546</v>
      </c>
      <c r="B1589" s="23">
        <v>21</v>
      </c>
      <c r="C1589" s="23">
        <v>26</v>
      </c>
      <c r="D1589" s="224"/>
      <c r="E1589" s="224">
        <v>280830</v>
      </c>
      <c r="F1589" s="224"/>
      <c r="G1589" s="224">
        <v>100801</v>
      </c>
      <c r="H1589" s="224"/>
      <c r="I1589" s="224">
        <v>67360</v>
      </c>
      <c r="J1589" s="224"/>
      <c r="K1589" s="224"/>
    </row>
    <row r="1590" spans="1:11">
      <c r="A1590" s="23" t="s">
        <v>546</v>
      </c>
      <c r="B1590" s="23">
        <v>21</v>
      </c>
      <c r="C1590" s="23">
        <v>27</v>
      </c>
      <c r="D1590" s="224"/>
      <c r="E1590" s="224">
        <v>353135</v>
      </c>
      <c r="F1590" s="224">
        <v>609984</v>
      </c>
      <c r="G1590" s="224">
        <v>510232</v>
      </c>
      <c r="H1590" s="224">
        <v>5000</v>
      </c>
      <c r="I1590" s="224">
        <v>15100</v>
      </c>
      <c r="J1590" s="224"/>
      <c r="K1590" s="224"/>
    </row>
    <row r="1591" spans="1:11">
      <c r="A1591" s="23" t="s">
        <v>546</v>
      </c>
      <c r="B1591" s="23">
        <v>21</v>
      </c>
      <c r="C1591" s="23">
        <v>31</v>
      </c>
      <c r="D1591" s="224"/>
      <c r="E1591" s="224">
        <v>4051</v>
      </c>
      <c r="F1591" s="224"/>
      <c r="G1591" s="224">
        <v>924</v>
      </c>
      <c r="H1591" s="224">
        <v>1500</v>
      </c>
      <c r="I1591" s="224"/>
      <c r="J1591" s="224">
        <v>1400</v>
      </c>
      <c r="K1591" s="224"/>
    </row>
    <row r="1592" spans="1:11">
      <c r="A1592" s="23" t="s">
        <v>546</v>
      </c>
      <c r="B1592" s="23">
        <v>21</v>
      </c>
      <c r="C1592" s="23">
        <v>34</v>
      </c>
      <c r="D1592" s="224"/>
      <c r="E1592" s="224">
        <v>12157</v>
      </c>
      <c r="F1592" s="224"/>
      <c r="G1592" s="224">
        <v>2773</v>
      </c>
      <c r="H1592" s="224"/>
      <c r="I1592" s="224"/>
      <c r="J1592" s="224"/>
      <c r="K1592" s="224"/>
    </row>
    <row r="1593" spans="1:11">
      <c r="A1593" s="23" t="s">
        <v>546</v>
      </c>
      <c r="B1593" s="23">
        <v>24</v>
      </c>
      <c r="C1593" s="23">
        <v>27</v>
      </c>
      <c r="D1593" s="224"/>
      <c r="E1593" s="224">
        <v>107362</v>
      </c>
      <c r="F1593" s="224"/>
      <c r="G1593" s="224">
        <v>43039</v>
      </c>
      <c r="H1593" s="224">
        <v>28718</v>
      </c>
      <c r="I1593" s="224"/>
      <c r="J1593" s="224"/>
      <c r="K1593" s="224"/>
    </row>
    <row r="1594" spans="1:11">
      <c r="A1594" s="23" t="s">
        <v>547</v>
      </c>
      <c r="B1594" s="23">
        <v>21</v>
      </c>
      <c r="C1594" s="23">
        <v>26</v>
      </c>
      <c r="D1594" s="224"/>
      <c r="E1594" s="224"/>
      <c r="F1594" s="224"/>
      <c r="G1594" s="224"/>
      <c r="H1594" s="224">
        <v>1300</v>
      </c>
      <c r="I1594" s="224">
        <v>24000</v>
      </c>
      <c r="J1594" s="224">
        <v>1499</v>
      </c>
      <c r="K1594" s="224"/>
    </row>
    <row r="1595" spans="1:11">
      <c r="A1595" s="23" t="s">
        <v>547</v>
      </c>
      <c r="B1595" s="23">
        <v>21</v>
      </c>
      <c r="C1595" s="23">
        <v>27</v>
      </c>
      <c r="D1595" s="224"/>
      <c r="E1595" s="224">
        <v>85412</v>
      </c>
      <c r="F1595" s="224">
        <v>8641</v>
      </c>
      <c r="G1595" s="224">
        <v>12034</v>
      </c>
      <c r="H1595" s="224">
        <v>750</v>
      </c>
      <c r="I1595" s="224">
        <v>750</v>
      </c>
      <c r="J1595" s="224">
        <v>100</v>
      </c>
      <c r="K1595" s="224"/>
    </row>
    <row r="1596" spans="1:11">
      <c r="A1596" s="23" t="s">
        <v>547</v>
      </c>
      <c r="B1596" s="23">
        <v>21</v>
      </c>
      <c r="C1596" s="23">
        <v>31</v>
      </c>
      <c r="D1596" s="224"/>
      <c r="E1596" s="224"/>
      <c r="F1596" s="224"/>
      <c r="G1596" s="224"/>
      <c r="H1596" s="224"/>
      <c r="I1596" s="224">
        <v>500</v>
      </c>
      <c r="J1596" s="224"/>
      <c r="K1596" s="224"/>
    </row>
    <row r="1597" spans="1:11">
      <c r="A1597" s="23" t="s">
        <v>547</v>
      </c>
      <c r="B1597" s="23">
        <v>21</v>
      </c>
      <c r="C1597" s="23">
        <v>34</v>
      </c>
      <c r="D1597" s="224"/>
      <c r="E1597" s="224">
        <v>556</v>
      </c>
      <c r="F1597" s="224"/>
      <c r="G1597" s="224">
        <v>45</v>
      </c>
      <c r="H1597" s="224"/>
      <c r="I1597" s="224"/>
      <c r="J1597" s="224"/>
      <c r="K1597" s="224"/>
    </row>
    <row r="1598" spans="1:11">
      <c r="A1598" s="23" t="s">
        <v>547</v>
      </c>
      <c r="B1598" s="23">
        <v>24</v>
      </c>
      <c r="C1598" s="23">
        <v>26</v>
      </c>
      <c r="D1598" s="224"/>
      <c r="E1598" s="224"/>
      <c r="F1598" s="224"/>
      <c r="G1598" s="224"/>
      <c r="H1598" s="224"/>
      <c r="I1598" s="224">
        <v>806</v>
      </c>
      <c r="J1598" s="224"/>
      <c r="K1598" s="224"/>
    </row>
    <row r="1599" spans="1:11">
      <c r="A1599" s="23" t="s">
        <v>547</v>
      </c>
      <c r="B1599" s="23">
        <v>24</v>
      </c>
      <c r="C1599" s="23">
        <v>27</v>
      </c>
      <c r="D1599" s="224"/>
      <c r="E1599" s="224"/>
      <c r="F1599" s="224">
        <v>8641</v>
      </c>
      <c r="G1599" s="224">
        <v>5105</v>
      </c>
      <c r="H1599" s="224"/>
      <c r="I1599" s="224"/>
      <c r="J1599" s="224"/>
      <c r="K1599" s="224"/>
    </row>
    <row r="1600" spans="1:11">
      <c r="A1600" s="23" t="s">
        <v>549</v>
      </c>
      <c r="B1600" s="23">
        <v>21</v>
      </c>
      <c r="C1600" s="23">
        <v>21</v>
      </c>
      <c r="D1600" s="224">
        <v>23200</v>
      </c>
      <c r="E1600" s="224">
        <v>1336400</v>
      </c>
      <c r="F1600" s="224">
        <v>1225475</v>
      </c>
      <c r="G1600" s="224">
        <v>884765</v>
      </c>
      <c r="H1600" s="224">
        <v>21000</v>
      </c>
      <c r="I1600" s="224">
        <v>71944</v>
      </c>
      <c r="J1600" s="224">
        <v>500</v>
      </c>
      <c r="K1600" s="224"/>
    </row>
    <row r="1601" spans="1:11">
      <c r="A1601" s="23" t="s">
        <v>549</v>
      </c>
      <c r="B1601" s="23">
        <v>21</v>
      </c>
      <c r="C1601" s="23">
        <v>24</v>
      </c>
      <c r="D1601" s="224"/>
      <c r="E1601" s="224">
        <v>215616</v>
      </c>
      <c r="F1601" s="224"/>
      <c r="G1601" s="224">
        <v>79922</v>
      </c>
      <c r="H1601" s="224"/>
      <c r="I1601" s="224"/>
      <c r="J1601" s="224"/>
      <c r="K1601" s="224"/>
    </row>
    <row r="1602" spans="1:11">
      <c r="A1602" s="23" t="s">
        <v>549</v>
      </c>
      <c r="B1602" s="23">
        <v>21</v>
      </c>
      <c r="C1602" s="23">
        <v>25</v>
      </c>
      <c r="D1602" s="224"/>
      <c r="E1602" s="224"/>
      <c r="F1602" s="224">
        <v>171512</v>
      </c>
      <c r="G1602" s="224">
        <v>29408</v>
      </c>
      <c r="H1602" s="224"/>
      <c r="I1602" s="224"/>
      <c r="J1602" s="224"/>
      <c r="K1602" s="224"/>
    </row>
    <row r="1603" spans="1:11">
      <c r="A1603" s="23" t="s">
        <v>549</v>
      </c>
      <c r="B1603" s="23">
        <v>21</v>
      </c>
      <c r="C1603" s="23">
        <v>26</v>
      </c>
      <c r="D1603" s="224"/>
      <c r="E1603" s="224">
        <v>24150313</v>
      </c>
      <c r="F1603" s="224">
        <v>1117058</v>
      </c>
      <c r="G1603" s="224">
        <v>9213587</v>
      </c>
      <c r="H1603" s="224">
        <v>241245</v>
      </c>
      <c r="I1603" s="224">
        <v>553565</v>
      </c>
      <c r="J1603" s="224">
        <v>18700</v>
      </c>
      <c r="K1603" s="224"/>
    </row>
    <row r="1604" spans="1:11">
      <c r="A1604" s="23" t="s">
        <v>549</v>
      </c>
      <c r="B1604" s="23">
        <v>21</v>
      </c>
      <c r="C1604" s="23">
        <v>27</v>
      </c>
      <c r="D1604" s="224">
        <v>201198</v>
      </c>
      <c r="E1604" s="224">
        <v>56687315</v>
      </c>
      <c r="F1604" s="224">
        <v>43821696</v>
      </c>
      <c r="G1604" s="224">
        <v>40872072</v>
      </c>
      <c r="H1604" s="224">
        <v>512519</v>
      </c>
      <c r="I1604" s="224">
        <v>8805124</v>
      </c>
      <c r="J1604" s="224">
        <v>9234</v>
      </c>
      <c r="K1604" s="224"/>
    </row>
    <row r="1605" spans="1:11">
      <c r="A1605" s="23" t="s">
        <v>549</v>
      </c>
      <c r="B1605" s="23">
        <v>21</v>
      </c>
      <c r="C1605" s="23">
        <v>31</v>
      </c>
      <c r="D1605" s="224"/>
      <c r="E1605" s="224">
        <v>343479</v>
      </c>
      <c r="F1605" s="224">
        <v>15000</v>
      </c>
      <c r="G1605" s="224">
        <v>118697</v>
      </c>
      <c r="H1605" s="224">
        <v>4758</v>
      </c>
      <c r="I1605" s="224">
        <v>281323</v>
      </c>
      <c r="J1605" s="224"/>
      <c r="K1605" s="224"/>
    </row>
    <row r="1606" spans="1:11">
      <c r="A1606" s="23" t="s">
        <v>549</v>
      </c>
      <c r="B1606" s="23">
        <v>21</v>
      </c>
      <c r="C1606" s="23">
        <v>33</v>
      </c>
      <c r="D1606" s="224"/>
      <c r="E1606" s="224"/>
      <c r="F1606" s="224"/>
      <c r="G1606" s="224"/>
      <c r="H1606" s="224">
        <v>153438</v>
      </c>
      <c r="I1606" s="224"/>
      <c r="J1606" s="224"/>
      <c r="K1606" s="224"/>
    </row>
    <row r="1607" spans="1:11">
      <c r="A1607" s="23" t="s">
        <v>549</v>
      </c>
      <c r="B1607" s="23">
        <v>24</v>
      </c>
      <c r="C1607" s="23">
        <v>21</v>
      </c>
      <c r="D1607" s="224"/>
      <c r="E1607" s="224">
        <v>1626603</v>
      </c>
      <c r="F1607" s="224">
        <v>104242</v>
      </c>
      <c r="G1607" s="224">
        <v>512135</v>
      </c>
      <c r="H1607" s="224"/>
      <c r="I1607" s="224"/>
      <c r="J1607" s="224"/>
      <c r="K1607" s="224"/>
    </row>
    <row r="1608" spans="1:11">
      <c r="A1608" s="23" t="s">
        <v>549</v>
      </c>
      <c r="B1608" s="23">
        <v>24</v>
      </c>
      <c r="C1608" s="23">
        <v>26</v>
      </c>
      <c r="D1608" s="224"/>
      <c r="E1608" s="224">
        <v>702248</v>
      </c>
      <c r="F1608" s="224">
        <v>63218</v>
      </c>
      <c r="G1608" s="224">
        <v>313710</v>
      </c>
      <c r="H1608" s="224">
        <v>155000</v>
      </c>
      <c r="I1608" s="224"/>
      <c r="J1608" s="224">
        <v>3400</v>
      </c>
      <c r="K1608" s="224"/>
    </row>
    <row r="1609" spans="1:11">
      <c r="A1609" s="23" t="s">
        <v>549</v>
      </c>
      <c r="B1609" s="23">
        <v>24</v>
      </c>
      <c r="C1609" s="23">
        <v>27</v>
      </c>
      <c r="D1609" s="224"/>
      <c r="E1609" s="224">
        <v>1627351</v>
      </c>
      <c r="F1609" s="224">
        <v>2218429</v>
      </c>
      <c r="G1609" s="224">
        <v>1574842</v>
      </c>
      <c r="H1609" s="224">
        <v>15800</v>
      </c>
      <c r="I1609" s="224">
        <v>1272699</v>
      </c>
      <c r="J1609" s="224">
        <v>4716</v>
      </c>
      <c r="K1609" s="224"/>
    </row>
    <row r="1610" spans="1:11">
      <c r="A1610" s="23" t="s">
        <v>549</v>
      </c>
      <c r="B1610" s="23">
        <v>24</v>
      </c>
      <c r="C1610" s="23">
        <v>31</v>
      </c>
      <c r="D1610" s="224"/>
      <c r="E1610" s="224">
        <v>1438260</v>
      </c>
      <c r="F1610" s="224"/>
      <c r="G1610" s="224">
        <v>516513</v>
      </c>
      <c r="H1610" s="224"/>
      <c r="I1610" s="224">
        <v>521573</v>
      </c>
      <c r="J1610" s="224">
        <v>8500</v>
      </c>
      <c r="K1610" s="224"/>
    </row>
    <row r="1611" spans="1:11">
      <c r="A1611" s="23" t="s">
        <v>551</v>
      </c>
      <c r="B1611" s="23">
        <v>21</v>
      </c>
      <c r="C1611" s="23">
        <v>21</v>
      </c>
      <c r="D1611" s="224"/>
      <c r="E1611" s="224">
        <v>279257</v>
      </c>
      <c r="F1611" s="224">
        <v>320858</v>
      </c>
      <c r="G1611" s="224">
        <v>222049</v>
      </c>
      <c r="H1611" s="224">
        <v>7000</v>
      </c>
      <c r="I1611" s="224"/>
      <c r="J1611" s="224">
        <v>500</v>
      </c>
      <c r="K1611" s="224"/>
    </row>
    <row r="1612" spans="1:11">
      <c r="A1612" s="23" t="s">
        <v>551</v>
      </c>
      <c r="B1612" s="23">
        <v>21</v>
      </c>
      <c r="C1612" s="23">
        <v>22</v>
      </c>
      <c r="D1612" s="224"/>
      <c r="E1612" s="224"/>
      <c r="F1612" s="224"/>
      <c r="G1612" s="224"/>
      <c r="H1612" s="224"/>
      <c r="I1612" s="224">
        <v>3200</v>
      </c>
      <c r="J1612" s="224"/>
      <c r="K1612" s="224"/>
    </row>
    <row r="1613" spans="1:11">
      <c r="A1613" s="23" t="s">
        <v>551</v>
      </c>
      <c r="B1613" s="23">
        <v>21</v>
      </c>
      <c r="C1613" s="23">
        <v>25</v>
      </c>
      <c r="D1613" s="224"/>
      <c r="E1613" s="224"/>
      <c r="F1613" s="224">
        <v>206885</v>
      </c>
      <c r="G1613" s="224">
        <v>136746</v>
      </c>
      <c r="H1613" s="224"/>
      <c r="I1613" s="224"/>
      <c r="J1613" s="224"/>
      <c r="K1613" s="224"/>
    </row>
    <row r="1614" spans="1:11">
      <c r="A1614" s="23" t="s">
        <v>551</v>
      </c>
      <c r="B1614" s="23">
        <v>21</v>
      </c>
      <c r="C1614" s="23">
        <v>26</v>
      </c>
      <c r="D1614" s="224"/>
      <c r="E1614" s="224">
        <v>2029095</v>
      </c>
      <c r="F1614" s="224">
        <v>202671</v>
      </c>
      <c r="G1614" s="224">
        <v>805781</v>
      </c>
      <c r="H1614" s="224">
        <v>24000</v>
      </c>
      <c r="I1614" s="224">
        <v>17700</v>
      </c>
      <c r="J1614" s="224">
        <v>9400</v>
      </c>
      <c r="K1614" s="224"/>
    </row>
    <row r="1615" spans="1:11">
      <c r="A1615" s="23" t="s">
        <v>551</v>
      </c>
      <c r="B1615" s="23">
        <v>21</v>
      </c>
      <c r="C1615" s="23">
        <v>27</v>
      </c>
      <c r="D1615" s="224"/>
      <c r="E1615" s="224">
        <v>2542869</v>
      </c>
      <c r="F1615" s="224">
        <v>2614360</v>
      </c>
      <c r="G1615" s="224">
        <v>2402997</v>
      </c>
      <c r="H1615" s="224">
        <v>21000</v>
      </c>
      <c r="I1615" s="224">
        <v>292500</v>
      </c>
      <c r="J1615" s="224">
        <v>3000</v>
      </c>
      <c r="K1615" s="224"/>
    </row>
    <row r="1616" spans="1:11">
      <c r="A1616" s="23" t="s">
        <v>551</v>
      </c>
      <c r="B1616" s="23">
        <v>21</v>
      </c>
      <c r="C1616" s="23">
        <v>29</v>
      </c>
      <c r="D1616" s="224"/>
      <c r="E1616" s="224"/>
      <c r="F1616" s="224"/>
      <c r="G1616" s="224"/>
      <c r="H1616" s="224"/>
      <c r="I1616" s="224">
        <v>253545</v>
      </c>
      <c r="J1616" s="224"/>
      <c r="K1616" s="224"/>
    </row>
    <row r="1617" spans="1:11">
      <c r="A1617" s="23" t="s">
        <v>551</v>
      </c>
      <c r="B1617" s="23">
        <v>21</v>
      </c>
      <c r="C1617" s="23">
        <v>31</v>
      </c>
      <c r="D1617" s="224"/>
      <c r="E1617" s="224">
        <v>75183</v>
      </c>
      <c r="F1617" s="224"/>
      <c r="G1617" s="224">
        <v>17105</v>
      </c>
      <c r="H1617" s="224"/>
      <c r="I1617" s="224"/>
      <c r="J1617" s="224"/>
      <c r="K1617" s="224"/>
    </row>
    <row r="1618" spans="1:11">
      <c r="A1618" s="23" t="s">
        <v>551</v>
      </c>
      <c r="B1618" s="23">
        <v>21</v>
      </c>
      <c r="C1618" s="23">
        <v>34</v>
      </c>
      <c r="D1618" s="224"/>
      <c r="E1618" s="224">
        <v>72184</v>
      </c>
      <c r="F1618" s="224"/>
      <c r="G1618" s="224">
        <v>16574</v>
      </c>
      <c r="H1618" s="224"/>
      <c r="I1618" s="224"/>
      <c r="J1618" s="224"/>
      <c r="K1618" s="224"/>
    </row>
    <row r="1619" spans="1:11">
      <c r="A1619" s="23" t="s">
        <v>551</v>
      </c>
      <c r="B1619" s="23">
        <v>23</v>
      </c>
      <c r="C1619" s="23">
        <v>27</v>
      </c>
      <c r="D1619" s="224"/>
      <c r="E1619" s="224"/>
      <c r="F1619" s="224">
        <v>21615</v>
      </c>
      <c r="G1619" s="224">
        <v>14958</v>
      </c>
      <c r="H1619" s="224"/>
      <c r="I1619" s="224"/>
      <c r="J1619" s="224"/>
      <c r="K1619" s="224"/>
    </row>
    <row r="1620" spans="1:11">
      <c r="A1620" s="23" t="s">
        <v>551</v>
      </c>
      <c r="B1620" s="23">
        <v>24</v>
      </c>
      <c r="C1620" s="23">
        <v>24</v>
      </c>
      <c r="D1620" s="224"/>
      <c r="E1620" s="224">
        <v>18293</v>
      </c>
      <c r="F1620" s="224">
        <v>61796</v>
      </c>
      <c r="G1620" s="224">
        <v>29067</v>
      </c>
      <c r="H1620" s="224"/>
      <c r="I1620" s="224"/>
      <c r="J1620" s="224"/>
      <c r="K1620" s="224"/>
    </row>
    <row r="1621" spans="1:11">
      <c r="A1621" s="23" t="s">
        <v>551</v>
      </c>
      <c r="B1621" s="23">
        <v>24</v>
      </c>
      <c r="C1621" s="23">
        <v>26</v>
      </c>
      <c r="D1621" s="224"/>
      <c r="E1621" s="224"/>
      <c r="F1621" s="224"/>
      <c r="G1621" s="224"/>
      <c r="H1621" s="224">
        <v>18100</v>
      </c>
      <c r="I1621" s="224"/>
      <c r="J1621" s="224"/>
      <c r="K1621" s="224"/>
    </row>
    <row r="1622" spans="1:11">
      <c r="A1622" s="23" t="s">
        <v>551</v>
      </c>
      <c r="B1622" s="23">
        <v>24</v>
      </c>
      <c r="C1622" s="23">
        <v>27</v>
      </c>
      <c r="D1622" s="224"/>
      <c r="E1622" s="224">
        <v>583515</v>
      </c>
      <c r="F1622" s="224"/>
      <c r="G1622" s="224">
        <v>214269</v>
      </c>
      <c r="H1622" s="224">
        <v>8500</v>
      </c>
      <c r="I1622" s="224">
        <v>763657</v>
      </c>
      <c r="J1622" s="224"/>
      <c r="K1622" s="224"/>
    </row>
    <row r="1623" spans="1:11">
      <c r="A1623" s="23" t="s">
        <v>553</v>
      </c>
      <c r="B1623" s="23">
        <v>21</v>
      </c>
      <c r="C1623" s="23">
        <v>21</v>
      </c>
      <c r="D1623" s="224"/>
      <c r="E1623" s="224">
        <v>171867</v>
      </c>
      <c r="F1623" s="224">
        <v>82155</v>
      </c>
      <c r="G1623" s="224">
        <v>95897</v>
      </c>
      <c r="H1623" s="224">
        <v>2000</v>
      </c>
      <c r="I1623" s="224"/>
      <c r="J1623" s="224">
        <v>3000</v>
      </c>
      <c r="K1623" s="224"/>
    </row>
    <row r="1624" spans="1:11">
      <c r="A1624" s="23" t="s">
        <v>553</v>
      </c>
      <c r="B1624" s="23">
        <v>21</v>
      </c>
      <c r="C1624" s="23">
        <v>26</v>
      </c>
      <c r="D1624" s="224"/>
      <c r="E1624" s="224">
        <v>738204</v>
      </c>
      <c r="F1624" s="224">
        <v>114537</v>
      </c>
      <c r="G1624" s="224">
        <v>355055</v>
      </c>
      <c r="H1624" s="224">
        <v>16000</v>
      </c>
      <c r="I1624" s="224">
        <v>120000</v>
      </c>
      <c r="J1624" s="224"/>
      <c r="K1624" s="224"/>
    </row>
    <row r="1625" spans="1:11">
      <c r="A1625" s="23" t="s">
        <v>553</v>
      </c>
      <c r="B1625" s="23">
        <v>21</v>
      </c>
      <c r="C1625" s="23">
        <v>27</v>
      </c>
      <c r="D1625" s="224"/>
      <c r="E1625" s="224">
        <v>1727435</v>
      </c>
      <c r="F1625" s="224">
        <v>696868</v>
      </c>
      <c r="G1625" s="224">
        <v>1150088</v>
      </c>
      <c r="H1625" s="224">
        <v>26500</v>
      </c>
      <c r="I1625" s="224">
        <v>94200</v>
      </c>
      <c r="J1625" s="224">
        <v>500</v>
      </c>
      <c r="K1625" s="224"/>
    </row>
    <row r="1626" spans="1:11">
      <c r="A1626" s="23" t="s">
        <v>553</v>
      </c>
      <c r="B1626" s="23">
        <v>21</v>
      </c>
      <c r="C1626" s="23">
        <v>31</v>
      </c>
      <c r="D1626" s="224"/>
      <c r="E1626" s="224"/>
      <c r="F1626" s="224"/>
      <c r="G1626" s="224"/>
      <c r="H1626" s="224"/>
      <c r="I1626" s="224">
        <v>6000</v>
      </c>
      <c r="J1626" s="224">
        <v>1500</v>
      </c>
      <c r="K1626" s="224"/>
    </row>
    <row r="1627" spans="1:11">
      <c r="A1627" s="23" t="s">
        <v>553</v>
      </c>
      <c r="B1627" s="23">
        <v>23</v>
      </c>
      <c r="C1627" s="23">
        <v>27</v>
      </c>
      <c r="D1627" s="224"/>
      <c r="E1627" s="224"/>
      <c r="F1627" s="224">
        <v>57774</v>
      </c>
      <c r="G1627" s="224">
        <v>43642</v>
      </c>
      <c r="H1627" s="224"/>
      <c r="I1627" s="224"/>
      <c r="J1627" s="224"/>
      <c r="K1627" s="224"/>
    </row>
    <row r="1628" spans="1:11">
      <c r="A1628" s="23" t="s">
        <v>553</v>
      </c>
      <c r="B1628" s="23">
        <v>24</v>
      </c>
      <c r="C1628" s="23">
        <v>26</v>
      </c>
      <c r="D1628" s="224"/>
      <c r="E1628" s="224"/>
      <c r="F1628" s="224">
        <v>90824</v>
      </c>
      <c r="G1628" s="224">
        <v>49849</v>
      </c>
      <c r="H1628" s="224"/>
      <c r="I1628" s="224"/>
      <c r="J1628" s="224"/>
      <c r="K1628" s="224"/>
    </row>
    <row r="1629" spans="1:11">
      <c r="A1629" s="23" t="s">
        <v>553</v>
      </c>
      <c r="B1629" s="23">
        <v>24</v>
      </c>
      <c r="C1629" s="23">
        <v>27</v>
      </c>
      <c r="D1629" s="224"/>
      <c r="E1629" s="224"/>
      <c r="F1629" s="224">
        <v>383380</v>
      </c>
      <c r="G1629" s="224">
        <v>254720</v>
      </c>
      <c r="H1629" s="224"/>
      <c r="I1629" s="224"/>
      <c r="J1629" s="224"/>
      <c r="K1629" s="224"/>
    </row>
    <row r="1630" spans="1:11">
      <c r="A1630" s="23" t="s">
        <v>555</v>
      </c>
      <c r="B1630" s="23">
        <v>21</v>
      </c>
      <c r="C1630" s="23">
        <v>21</v>
      </c>
      <c r="D1630" s="224"/>
      <c r="E1630" s="224">
        <v>28862</v>
      </c>
      <c r="F1630" s="224"/>
      <c r="G1630" s="224">
        <v>9035</v>
      </c>
      <c r="H1630" s="224"/>
      <c r="I1630" s="224"/>
      <c r="J1630" s="224"/>
      <c r="K1630" s="224"/>
    </row>
    <row r="1631" spans="1:11">
      <c r="A1631" s="23" t="s">
        <v>555</v>
      </c>
      <c r="B1631" s="23">
        <v>21</v>
      </c>
      <c r="C1631" s="23">
        <v>26</v>
      </c>
      <c r="D1631" s="224"/>
      <c r="E1631" s="224">
        <v>56048</v>
      </c>
      <c r="F1631" s="224"/>
      <c r="G1631" s="224">
        <v>24050</v>
      </c>
      <c r="H1631" s="224"/>
      <c r="I1631" s="224">
        <v>15200</v>
      </c>
      <c r="J1631" s="224">
        <v>250</v>
      </c>
      <c r="K1631" s="224"/>
    </row>
    <row r="1632" spans="1:11">
      <c r="A1632" s="23" t="s">
        <v>555</v>
      </c>
      <c r="B1632" s="23">
        <v>21</v>
      </c>
      <c r="C1632" s="23">
        <v>27</v>
      </c>
      <c r="D1632" s="224"/>
      <c r="E1632" s="224">
        <v>99786</v>
      </c>
      <c r="F1632" s="224">
        <v>90128</v>
      </c>
      <c r="G1632" s="224">
        <v>110869</v>
      </c>
      <c r="H1632" s="224">
        <v>10000</v>
      </c>
      <c r="I1632" s="224"/>
      <c r="J1632" s="224"/>
      <c r="K1632" s="224"/>
    </row>
    <row r="1633" spans="1:11">
      <c r="A1633" s="23" t="s">
        <v>555</v>
      </c>
      <c r="B1633" s="23">
        <v>21</v>
      </c>
      <c r="C1633" s="23">
        <v>34</v>
      </c>
      <c r="D1633" s="224"/>
      <c r="E1633" s="224"/>
      <c r="F1633" s="224"/>
      <c r="G1633" s="224"/>
      <c r="H1633" s="224"/>
      <c r="I1633" s="224">
        <v>2675</v>
      </c>
      <c r="J1633" s="224"/>
      <c r="K1633" s="224"/>
    </row>
    <row r="1634" spans="1:11">
      <c r="A1634" s="23" t="s">
        <v>555</v>
      </c>
      <c r="B1634" s="23">
        <v>24</v>
      </c>
      <c r="C1634" s="23">
        <v>26</v>
      </c>
      <c r="D1634" s="224"/>
      <c r="E1634" s="224">
        <v>6228</v>
      </c>
      <c r="F1634" s="224"/>
      <c r="G1634" s="224">
        <v>2672</v>
      </c>
      <c r="H1634" s="224"/>
      <c r="I1634" s="224">
        <v>25500</v>
      </c>
      <c r="J1634" s="224"/>
      <c r="K1634" s="224"/>
    </row>
    <row r="1635" spans="1:11">
      <c r="A1635" s="23" t="s">
        <v>555</v>
      </c>
      <c r="B1635" s="23">
        <v>24</v>
      </c>
      <c r="C1635" s="23">
        <v>27</v>
      </c>
      <c r="D1635" s="224"/>
      <c r="E1635" s="224">
        <v>7195</v>
      </c>
      <c r="F1635" s="224">
        <v>18288</v>
      </c>
      <c r="G1635" s="224">
        <v>16959</v>
      </c>
      <c r="H1635" s="224"/>
      <c r="I1635" s="224"/>
      <c r="J1635" s="224"/>
      <c r="K1635" s="224"/>
    </row>
    <row r="1636" spans="1:11">
      <c r="A1636" s="23" t="s">
        <v>557</v>
      </c>
      <c r="B1636" s="23">
        <v>21</v>
      </c>
      <c r="C1636" s="23">
        <v>21</v>
      </c>
      <c r="D1636" s="224"/>
      <c r="E1636" s="224">
        <v>160605</v>
      </c>
      <c r="F1636" s="224">
        <v>98550</v>
      </c>
      <c r="G1636" s="224">
        <v>92309</v>
      </c>
      <c r="H1636" s="224">
        <v>1000</v>
      </c>
      <c r="I1636" s="224">
        <v>1000</v>
      </c>
      <c r="J1636" s="224"/>
      <c r="K1636" s="224"/>
    </row>
    <row r="1637" spans="1:11">
      <c r="A1637" s="23" t="s">
        <v>557</v>
      </c>
      <c r="B1637" s="23">
        <v>21</v>
      </c>
      <c r="C1637" s="23">
        <v>25</v>
      </c>
      <c r="D1637" s="224"/>
      <c r="E1637" s="224"/>
      <c r="F1637" s="224">
        <v>89271</v>
      </c>
      <c r="G1637" s="224">
        <v>91029</v>
      </c>
      <c r="H1637" s="224"/>
      <c r="I1637" s="224"/>
      <c r="J1637" s="224"/>
      <c r="K1637" s="224"/>
    </row>
    <row r="1638" spans="1:11">
      <c r="A1638" s="23" t="s">
        <v>557</v>
      </c>
      <c r="B1638" s="23">
        <v>21</v>
      </c>
      <c r="C1638" s="23">
        <v>26</v>
      </c>
      <c r="D1638" s="224"/>
      <c r="E1638" s="224">
        <v>405334</v>
      </c>
      <c r="F1638" s="224">
        <v>95751</v>
      </c>
      <c r="G1638" s="224">
        <v>201794</v>
      </c>
      <c r="H1638" s="224">
        <v>5000</v>
      </c>
      <c r="I1638" s="224">
        <v>390000</v>
      </c>
      <c r="J1638" s="224"/>
      <c r="K1638" s="224"/>
    </row>
    <row r="1639" spans="1:11">
      <c r="A1639" s="23" t="s">
        <v>557</v>
      </c>
      <c r="B1639" s="23">
        <v>21</v>
      </c>
      <c r="C1639" s="23">
        <v>27</v>
      </c>
      <c r="D1639" s="224"/>
      <c r="E1639" s="224">
        <v>1771645</v>
      </c>
      <c r="F1639" s="224">
        <v>910078</v>
      </c>
      <c r="G1639" s="224">
        <v>1178438</v>
      </c>
      <c r="H1639" s="224">
        <v>21000</v>
      </c>
      <c r="I1639" s="224">
        <v>111000</v>
      </c>
      <c r="J1639" s="224"/>
      <c r="K1639" s="224"/>
    </row>
    <row r="1640" spans="1:11">
      <c r="A1640" s="23" t="s">
        <v>557</v>
      </c>
      <c r="B1640" s="23">
        <v>21</v>
      </c>
      <c r="C1640" s="23">
        <v>31</v>
      </c>
      <c r="D1640" s="224"/>
      <c r="E1640" s="224">
        <v>9568</v>
      </c>
      <c r="F1640" s="224"/>
      <c r="G1640" s="224">
        <v>2199</v>
      </c>
      <c r="H1640" s="224"/>
      <c r="I1640" s="224"/>
      <c r="J1640" s="224"/>
      <c r="K1640" s="224"/>
    </row>
    <row r="1641" spans="1:11">
      <c r="A1641" s="23" t="s">
        <v>557</v>
      </c>
      <c r="B1641" s="23">
        <v>21</v>
      </c>
      <c r="C1641" s="23">
        <v>34</v>
      </c>
      <c r="D1641" s="224"/>
      <c r="E1641" s="224">
        <v>34752</v>
      </c>
      <c r="F1641" s="224"/>
      <c r="G1641" s="224">
        <v>7947</v>
      </c>
      <c r="H1641" s="224"/>
      <c r="I1641" s="224"/>
      <c r="J1641" s="224"/>
      <c r="K1641" s="224"/>
    </row>
    <row r="1642" spans="1:11">
      <c r="A1642" s="23" t="s">
        <v>557</v>
      </c>
      <c r="B1642" s="23">
        <v>24</v>
      </c>
      <c r="C1642" s="23">
        <v>26</v>
      </c>
      <c r="D1642" s="224"/>
      <c r="E1642" s="224">
        <v>180464</v>
      </c>
      <c r="F1642" s="224"/>
      <c r="G1642" s="224">
        <v>65859</v>
      </c>
      <c r="H1642" s="224"/>
      <c r="I1642" s="224"/>
      <c r="J1642" s="224"/>
      <c r="K1642" s="224"/>
    </row>
    <row r="1643" spans="1:11">
      <c r="A1643" s="23" t="s">
        <v>557</v>
      </c>
      <c r="B1643" s="23">
        <v>24</v>
      </c>
      <c r="C1643" s="23">
        <v>27</v>
      </c>
      <c r="D1643" s="224"/>
      <c r="E1643" s="224">
        <v>115571</v>
      </c>
      <c r="F1643" s="224">
        <v>69651</v>
      </c>
      <c r="G1643" s="224">
        <v>77361</v>
      </c>
      <c r="H1643" s="224">
        <v>1455</v>
      </c>
      <c r="I1643" s="224"/>
      <c r="J1643" s="224"/>
      <c r="K1643" s="224"/>
    </row>
    <row r="1644" spans="1:11">
      <c r="A1644" s="23" t="s">
        <v>557</v>
      </c>
      <c r="B1644" s="23">
        <v>24</v>
      </c>
      <c r="C1644" s="23">
        <v>31</v>
      </c>
      <c r="D1644" s="224"/>
      <c r="E1644" s="224">
        <v>5427</v>
      </c>
      <c r="F1644" s="224"/>
      <c r="G1644" s="224">
        <v>1243</v>
      </c>
      <c r="H1644" s="224"/>
      <c r="I1644" s="224"/>
      <c r="J1644" s="224"/>
      <c r="K1644" s="224"/>
    </row>
    <row r="1645" spans="1:11">
      <c r="A1645" s="23" t="s">
        <v>561</v>
      </c>
      <c r="B1645" s="23">
        <v>21</v>
      </c>
      <c r="C1645" s="23">
        <v>21</v>
      </c>
      <c r="D1645" s="224">
        <v>125</v>
      </c>
      <c r="E1645" s="224">
        <v>135770</v>
      </c>
      <c r="F1645" s="224">
        <v>228484</v>
      </c>
      <c r="G1645" s="224">
        <v>148576</v>
      </c>
      <c r="H1645" s="224">
        <v>3000</v>
      </c>
      <c r="I1645" s="224">
        <v>8000</v>
      </c>
      <c r="J1645" s="224">
        <v>500</v>
      </c>
      <c r="K1645" s="224"/>
    </row>
    <row r="1646" spans="1:11">
      <c r="A1646" s="23" t="s">
        <v>561</v>
      </c>
      <c r="B1646" s="23">
        <v>21</v>
      </c>
      <c r="C1646" s="23">
        <v>26</v>
      </c>
      <c r="D1646" s="224"/>
      <c r="E1646" s="224">
        <v>1132582</v>
      </c>
      <c r="F1646" s="224">
        <v>45716</v>
      </c>
      <c r="G1646" s="224">
        <v>409354</v>
      </c>
      <c r="H1646" s="224">
        <v>4500</v>
      </c>
      <c r="I1646" s="224"/>
      <c r="J1646" s="224">
        <v>1000</v>
      </c>
      <c r="K1646" s="224"/>
    </row>
    <row r="1647" spans="1:11">
      <c r="A1647" s="23" t="s">
        <v>561</v>
      </c>
      <c r="B1647" s="23">
        <v>21</v>
      </c>
      <c r="C1647" s="23">
        <v>27</v>
      </c>
      <c r="D1647" s="224">
        <v>650</v>
      </c>
      <c r="E1647" s="224">
        <v>2744253</v>
      </c>
      <c r="F1647" s="224">
        <v>1515601</v>
      </c>
      <c r="G1647" s="224">
        <v>1985063</v>
      </c>
      <c r="H1647" s="224">
        <v>30000</v>
      </c>
      <c r="I1647" s="224">
        <v>295816</v>
      </c>
      <c r="J1647" s="224">
        <v>1500</v>
      </c>
      <c r="K1647" s="224"/>
    </row>
    <row r="1648" spans="1:11">
      <c r="A1648" s="23" t="s">
        <v>561</v>
      </c>
      <c r="B1648" s="23">
        <v>21</v>
      </c>
      <c r="C1648" s="23">
        <v>31</v>
      </c>
      <c r="D1648" s="224"/>
      <c r="E1648" s="224">
        <v>5249</v>
      </c>
      <c r="F1648" s="224">
        <v>9066</v>
      </c>
      <c r="G1648" s="224"/>
      <c r="H1648" s="224">
        <v>500</v>
      </c>
      <c r="I1648" s="224">
        <v>2500</v>
      </c>
      <c r="J1648" s="224"/>
      <c r="K1648" s="224"/>
    </row>
    <row r="1649" spans="1:11">
      <c r="A1649" s="23" t="s">
        <v>561</v>
      </c>
      <c r="B1649" s="23">
        <v>24</v>
      </c>
      <c r="C1649" s="23">
        <v>26</v>
      </c>
      <c r="D1649" s="224"/>
      <c r="E1649" s="224">
        <v>215591</v>
      </c>
      <c r="F1649" s="224"/>
      <c r="G1649" s="224">
        <v>73938</v>
      </c>
      <c r="H1649" s="224">
        <v>15000</v>
      </c>
      <c r="I1649" s="224"/>
      <c r="J1649" s="224">
        <v>7500</v>
      </c>
      <c r="K1649" s="224"/>
    </row>
    <row r="1650" spans="1:11">
      <c r="A1650" s="23" t="s">
        <v>561</v>
      </c>
      <c r="B1650" s="23">
        <v>24</v>
      </c>
      <c r="C1650" s="23">
        <v>27</v>
      </c>
      <c r="D1650" s="224"/>
      <c r="E1650" s="224">
        <v>264698</v>
      </c>
      <c r="F1650" s="224">
        <v>173830</v>
      </c>
      <c r="G1650" s="224">
        <v>198121</v>
      </c>
      <c r="H1650" s="224">
        <v>21590</v>
      </c>
      <c r="I1650" s="224">
        <v>10000</v>
      </c>
      <c r="J1650" s="224">
        <v>3000</v>
      </c>
      <c r="K1650" s="224"/>
    </row>
    <row r="1651" spans="1:11">
      <c r="A1651" s="23" t="s">
        <v>561</v>
      </c>
      <c r="B1651" s="23">
        <v>24</v>
      </c>
      <c r="C1651" s="23">
        <v>31</v>
      </c>
      <c r="D1651" s="224"/>
      <c r="E1651" s="224"/>
      <c r="F1651" s="224"/>
      <c r="G1651" s="224"/>
      <c r="H1651" s="224"/>
      <c r="I1651" s="224">
        <v>7000</v>
      </c>
      <c r="J1651" s="224">
        <v>2000</v>
      </c>
      <c r="K1651" s="224"/>
    </row>
    <row r="1652" spans="1:11">
      <c r="A1652" s="23" t="s">
        <v>561</v>
      </c>
      <c r="B1652" s="23">
        <v>24</v>
      </c>
      <c r="C1652" s="23">
        <v>32</v>
      </c>
      <c r="D1652" s="224"/>
      <c r="E1652" s="224"/>
      <c r="F1652" s="224"/>
      <c r="G1652" s="224"/>
      <c r="H1652" s="224">
        <v>3500</v>
      </c>
      <c r="I1652" s="224"/>
      <c r="J1652" s="224"/>
      <c r="K1652" s="224"/>
    </row>
    <row r="1653" spans="1:11">
      <c r="A1653" s="23" t="s">
        <v>563</v>
      </c>
      <c r="B1653" s="23">
        <v>21</v>
      </c>
      <c r="C1653" s="23">
        <v>21</v>
      </c>
      <c r="D1653" s="224"/>
      <c r="E1653" s="224">
        <v>186824</v>
      </c>
      <c r="F1653" s="224">
        <v>262602</v>
      </c>
      <c r="G1653" s="224">
        <v>152311</v>
      </c>
      <c r="H1653" s="224"/>
      <c r="I1653" s="224"/>
      <c r="J1653" s="224"/>
      <c r="K1653" s="224"/>
    </row>
    <row r="1654" spans="1:11">
      <c r="A1654" s="23" t="s">
        <v>563</v>
      </c>
      <c r="B1654" s="23">
        <v>21</v>
      </c>
      <c r="C1654" s="23">
        <v>25</v>
      </c>
      <c r="D1654" s="224"/>
      <c r="E1654" s="224"/>
      <c r="F1654" s="224">
        <v>187640</v>
      </c>
      <c r="G1654" s="224">
        <v>145608</v>
      </c>
      <c r="H1654" s="224"/>
      <c r="I1654" s="224"/>
      <c r="J1654" s="224"/>
      <c r="K1654" s="224"/>
    </row>
    <row r="1655" spans="1:11">
      <c r="A1655" s="23" t="s">
        <v>563</v>
      </c>
      <c r="B1655" s="23">
        <v>21</v>
      </c>
      <c r="C1655" s="23">
        <v>26</v>
      </c>
      <c r="D1655" s="224"/>
      <c r="E1655" s="224">
        <v>3878037</v>
      </c>
      <c r="F1655" s="224">
        <v>50101</v>
      </c>
      <c r="G1655" s="224">
        <v>1418941</v>
      </c>
      <c r="H1655" s="224">
        <v>70000</v>
      </c>
      <c r="I1655" s="224">
        <v>375000</v>
      </c>
      <c r="J1655" s="224"/>
      <c r="K1655" s="224"/>
    </row>
    <row r="1656" spans="1:11">
      <c r="A1656" s="23" t="s">
        <v>563</v>
      </c>
      <c r="B1656" s="23">
        <v>21</v>
      </c>
      <c r="C1656" s="23">
        <v>27</v>
      </c>
      <c r="D1656" s="224">
        <v>38174</v>
      </c>
      <c r="E1656" s="224">
        <v>4963149</v>
      </c>
      <c r="F1656" s="224">
        <v>4825737</v>
      </c>
      <c r="G1656" s="224">
        <v>4218057</v>
      </c>
      <c r="H1656" s="224">
        <v>39078</v>
      </c>
      <c r="I1656" s="224">
        <v>1297000</v>
      </c>
      <c r="J1656" s="224">
        <v>4000</v>
      </c>
      <c r="K1656" s="224"/>
    </row>
    <row r="1657" spans="1:11">
      <c r="A1657" s="23" t="s">
        <v>563</v>
      </c>
      <c r="B1657" s="23">
        <v>21</v>
      </c>
      <c r="C1657" s="23">
        <v>29</v>
      </c>
      <c r="D1657" s="224"/>
      <c r="E1657" s="224"/>
      <c r="F1657" s="224"/>
      <c r="G1657" s="224"/>
      <c r="H1657" s="224"/>
      <c r="I1657" s="224">
        <v>510000</v>
      </c>
      <c r="J1657" s="224"/>
      <c r="K1657" s="224"/>
    </row>
    <row r="1658" spans="1:11">
      <c r="A1658" s="23" t="s">
        <v>563</v>
      </c>
      <c r="B1658" s="23">
        <v>21</v>
      </c>
      <c r="C1658" s="23">
        <v>31</v>
      </c>
      <c r="D1658" s="224"/>
      <c r="E1658" s="224">
        <v>772870</v>
      </c>
      <c r="F1658" s="224">
        <v>1000</v>
      </c>
      <c r="G1658" s="224">
        <v>233430</v>
      </c>
      <c r="H1658" s="224">
        <v>10000</v>
      </c>
      <c r="I1658" s="224">
        <v>10000</v>
      </c>
      <c r="J1658" s="224">
        <v>2000</v>
      </c>
      <c r="K1658" s="224"/>
    </row>
    <row r="1659" spans="1:11">
      <c r="A1659" s="23" t="s">
        <v>563</v>
      </c>
      <c r="B1659" s="23">
        <v>24</v>
      </c>
      <c r="C1659" s="23">
        <v>26</v>
      </c>
      <c r="D1659" s="224"/>
      <c r="E1659" s="224"/>
      <c r="F1659" s="224"/>
      <c r="G1659" s="224"/>
      <c r="H1659" s="224"/>
      <c r="I1659" s="224">
        <v>81000</v>
      </c>
      <c r="J1659" s="224"/>
      <c r="K1659" s="224"/>
    </row>
    <row r="1660" spans="1:11">
      <c r="A1660" s="23" t="s">
        <v>563</v>
      </c>
      <c r="B1660" s="23">
        <v>24</v>
      </c>
      <c r="C1660" s="23">
        <v>27</v>
      </c>
      <c r="D1660" s="224"/>
      <c r="E1660" s="224">
        <v>1126049</v>
      </c>
      <c r="F1660" s="224">
        <v>386906</v>
      </c>
      <c r="G1660" s="224">
        <v>552388</v>
      </c>
      <c r="H1660" s="224"/>
      <c r="I1660" s="224"/>
      <c r="J1660" s="224"/>
      <c r="K1660" s="224"/>
    </row>
    <row r="1661" spans="1:11">
      <c r="A1661" s="23" t="s">
        <v>563</v>
      </c>
      <c r="B1661" s="23">
        <v>24</v>
      </c>
      <c r="C1661" s="23">
        <v>31</v>
      </c>
      <c r="D1661" s="224"/>
      <c r="E1661" s="224"/>
      <c r="F1661" s="224"/>
      <c r="G1661" s="224"/>
      <c r="H1661" s="224">
        <v>10000</v>
      </c>
      <c r="I1661" s="224">
        <v>57934</v>
      </c>
      <c r="J1661" s="224"/>
      <c r="K1661" s="224"/>
    </row>
    <row r="1662" spans="1:11">
      <c r="A1662" s="23" t="s">
        <v>563</v>
      </c>
      <c r="B1662" s="23">
        <v>26</v>
      </c>
      <c r="C1662" s="23">
        <v>27</v>
      </c>
      <c r="D1662" s="224"/>
      <c r="E1662" s="224"/>
      <c r="F1662" s="224"/>
      <c r="G1662" s="224"/>
      <c r="H1662" s="224">
        <v>1</v>
      </c>
      <c r="I1662" s="224"/>
      <c r="J1662" s="224"/>
      <c r="K1662" s="224"/>
    </row>
    <row r="1663" spans="1:11">
      <c r="A1663" s="23" t="s">
        <v>565</v>
      </c>
      <c r="B1663" s="23">
        <v>21</v>
      </c>
      <c r="C1663" s="23">
        <v>29</v>
      </c>
      <c r="D1663" s="224"/>
      <c r="E1663" s="224"/>
      <c r="F1663" s="224"/>
      <c r="G1663" s="224"/>
      <c r="H1663" s="224"/>
      <c r="I1663" s="224">
        <v>87738</v>
      </c>
      <c r="J1663" s="224"/>
      <c r="K1663" s="224"/>
    </row>
    <row r="1664" spans="1:11">
      <c r="A1664" s="23" t="s">
        <v>77</v>
      </c>
      <c r="B1664" s="23">
        <v>21</v>
      </c>
      <c r="C1664" s="23">
        <v>26</v>
      </c>
      <c r="D1664" s="224"/>
      <c r="E1664" s="224"/>
      <c r="F1664" s="224"/>
      <c r="G1664" s="224"/>
      <c r="H1664" s="224"/>
      <c r="I1664" s="224">
        <v>11000</v>
      </c>
      <c r="J1664" s="224">
        <v>2374</v>
      </c>
      <c r="K1664" s="224"/>
    </row>
    <row r="1665" spans="1:11">
      <c r="A1665" s="23" t="s">
        <v>77</v>
      </c>
      <c r="B1665" s="23">
        <v>21</v>
      </c>
      <c r="C1665" s="23">
        <v>27</v>
      </c>
      <c r="D1665" s="224"/>
      <c r="E1665" s="224">
        <v>124362</v>
      </c>
      <c r="F1665" s="224">
        <v>8089</v>
      </c>
      <c r="G1665" s="224">
        <v>49925</v>
      </c>
      <c r="H1665" s="224">
        <v>1000</v>
      </c>
      <c r="I1665" s="224">
        <v>2000</v>
      </c>
      <c r="J1665" s="224">
        <v>500</v>
      </c>
      <c r="K1665" s="224"/>
    </row>
    <row r="1666" spans="1:11">
      <c r="A1666" s="23" t="s">
        <v>77</v>
      </c>
      <c r="B1666" s="23">
        <v>24</v>
      </c>
      <c r="C1666" s="23">
        <v>26</v>
      </c>
      <c r="D1666" s="224"/>
      <c r="E1666" s="224"/>
      <c r="F1666" s="224"/>
      <c r="G1666" s="224"/>
      <c r="H1666" s="224"/>
      <c r="I1666" s="224">
        <v>29000</v>
      </c>
      <c r="J1666" s="224"/>
      <c r="K1666" s="224"/>
    </row>
    <row r="1667" spans="1:11">
      <c r="A1667" s="23" t="s">
        <v>79</v>
      </c>
      <c r="B1667" s="23">
        <v>21</v>
      </c>
      <c r="C1667" s="23">
        <v>21</v>
      </c>
      <c r="D1667" s="224"/>
      <c r="E1667" s="224">
        <v>930039</v>
      </c>
      <c r="F1667" s="224">
        <v>153103</v>
      </c>
      <c r="G1667" s="224">
        <v>349491</v>
      </c>
      <c r="H1667" s="224">
        <v>7100</v>
      </c>
      <c r="I1667" s="224">
        <v>5000</v>
      </c>
      <c r="J1667" s="224">
        <v>2600</v>
      </c>
      <c r="K1667" s="224"/>
    </row>
    <row r="1668" spans="1:11">
      <c r="A1668" s="23" t="s">
        <v>79</v>
      </c>
      <c r="B1668" s="23">
        <v>21</v>
      </c>
      <c r="C1668" s="23">
        <v>26</v>
      </c>
      <c r="D1668" s="224">
        <v>1000</v>
      </c>
      <c r="E1668" s="224">
        <v>4003388</v>
      </c>
      <c r="F1668" s="224">
        <v>233034</v>
      </c>
      <c r="G1668" s="224">
        <v>1515406</v>
      </c>
      <c r="H1668" s="224">
        <v>59500</v>
      </c>
      <c r="I1668" s="224">
        <v>55200</v>
      </c>
      <c r="J1668" s="224">
        <v>4500</v>
      </c>
      <c r="K1668" s="224"/>
    </row>
    <row r="1669" spans="1:11">
      <c r="A1669" s="23" t="s">
        <v>79</v>
      </c>
      <c r="B1669" s="23">
        <v>21</v>
      </c>
      <c r="C1669" s="23">
        <v>27</v>
      </c>
      <c r="D1669" s="224">
        <v>20100</v>
      </c>
      <c r="E1669" s="224">
        <v>5776045</v>
      </c>
      <c r="F1669" s="224">
        <v>4871100</v>
      </c>
      <c r="G1669" s="224">
        <v>4716635</v>
      </c>
      <c r="H1669" s="224">
        <v>57295</v>
      </c>
      <c r="I1669" s="224">
        <v>926730</v>
      </c>
      <c r="J1669" s="224">
        <v>2200</v>
      </c>
      <c r="K1669" s="224"/>
    </row>
    <row r="1670" spans="1:11">
      <c r="A1670" s="23" t="s">
        <v>79</v>
      </c>
      <c r="B1670" s="23">
        <v>21</v>
      </c>
      <c r="C1670" s="23">
        <v>29</v>
      </c>
      <c r="D1670" s="224"/>
      <c r="E1670" s="224"/>
      <c r="F1670" s="224"/>
      <c r="G1670" s="224"/>
      <c r="H1670" s="224"/>
      <c r="I1670" s="224">
        <v>350000</v>
      </c>
      <c r="J1670" s="224"/>
      <c r="K1670" s="224"/>
    </row>
    <row r="1671" spans="1:11">
      <c r="A1671" s="23" t="s">
        <v>79</v>
      </c>
      <c r="B1671" s="23">
        <v>21</v>
      </c>
      <c r="C1671" s="23">
        <v>31</v>
      </c>
      <c r="D1671" s="224"/>
      <c r="E1671" s="224">
        <v>10489</v>
      </c>
      <c r="F1671" s="224">
        <v>1390</v>
      </c>
      <c r="G1671" s="224">
        <v>2227</v>
      </c>
      <c r="H1671" s="224">
        <v>1500</v>
      </c>
      <c r="I1671" s="224">
        <v>15000</v>
      </c>
      <c r="J1671" s="224"/>
      <c r="K1671" s="224"/>
    </row>
    <row r="1672" spans="1:11">
      <c r="A1672" s="23" t="s">
        <v>79</v>
      </c>
      <c r="B1672" s="23">
        <v>21</v>
      </c>
      <c r="C1672" s="23">
        <v>33</v>
      </c>
      <c r="D1672" s="224"/>
      <c r="E1672" s="224"/>
      <c r="F1672" s="224"/>
      <c r="G1672" s="224"/>
      <c r="H1672" s="224">
        <v>20000</v>
      </c>
      <c r="I1672" s="224"/>
      <c r="J1672" s="224"/>
      <c r="K1672" s="224"/>
    </row>
    <row r="1673" spans="1:11">
      <c r="A1673" s="23" t="s">
        <v>79</v>
      </c>
      <c r="B1673" s="23">
        <v>21</v>
      </c>
      <c r="C1673" s="23">
        <v>34</v>
      </c>
      <c r="D1673" s="224"/>
      <c r="E1673" s="224">
        <v>135810</v>
      </c>
      <c r="F1673" s="224"/>
      <c r="G1673" s="224">
        <v>31950</v>
      </c>
      <c r="H1673" s="224"/>
      <c r="I1673" s="224"/>
      <c r="J1673" s="224"/>
      <c r="K1673" s="224"/>
    </row>
    <row r="1674" spans="1:11">
      <c r="A1674" s="23" t="s">
        <v>79</v>
      </c>
      <c r="B1674" s="23">
        <v>23</v>
      </c>
      <c r="C1674" s="23">
        <v>27</v>
      </c>
      <c r="D1674" s="224"/>
      <c r="E1674" s="224"/>
      <c r="F1674" s="224"/>
      <c r="G1674" s="224"/>
      <c r="H1674" s="224"/>
      <c r="I1674" s="224">
        <v>256399</v>
      </c>
      <c r="J1674" s="224"/>
      <c r="K1674" s="224"/>
    </row>
    <row r="1675" spans="1:11">
      <c r="A1675" s="23" t="s">
        <v>79</v>
      </c>
      <c r="B1675" s="23">
        <v>24</v>
      </c>
      <c r="C1675" s="23">
        <v>26</v>
      </c>
      <c r="D1675" s="224"/>
      <c r="E1675" s="224"/>
      <c r="F1675" s="224">
        <v>84106</v>
      </c>
      <c r="G1675" s="224">
        <v>41971</v>
      </c>
      <c r="H1675" s="224"/>
      <c r="I1675" s="224"/>
      <c r="J1675" s="224"/>
      <c r="K1675" s="224"/>
    </row>
    <row r="1676" spans="1:11">
      <c r="A1676" s="23" t="s">
        <v>79</v>
      </c>
      <c r="B1676" s="23">
        <v>24</v>
      </c>
      <c r="C1676" s="23">
        <v>27</v>
      </c>
      <c r="D1676" s="224"/>
      <c r="E1676" s="224">
        <v>729154</v>
      </c>
      <c r="F1676" s="224">
        <v>380108</v>
      </c>
      <c r="G1676" s="224">
        <v>468163</v>
      </c>
      <c r="H1676" s="224"/>
      <c r="I1676" s="224">
        <v>200000</v>
      </c>
      <c r="J1676" s="224"/>
      <c r="K1676" s="224"/>
    </row>
    <row r="1677" spans="1:11">
      <c r="A1677" s="23" t="s">
        <v>81</v>
      </c>
      <c r="B1677" s="23">
        <v>21</v>
      </c>
      <c r="C1677" s="23">
        <v>21</v>
      </c>
      <c r="D1677" s="224"/>
      <c r="E1677" s="224">
        <v>244714</v>
      </c>
      <c r="F1677" s="224">
        <v>97799</v>
      </c>
      <c r="G1677" s="224">
        <v>115413</v>
      </c>
      <c r="H1677" s="224"/>
      <c r="I1677" s="224"/>
      <c r="J1677" s="224"/>
      <c r="K1677" s="224"/>
    </row>
    <row r="1678" spans="1:11">
      <c r="A1678" s="23" t="s">
        <v>81</v>
      </c>
      <c r="B1678" s="23">
        <v>21</v>
      </c>
      <c r="C1678" s="23">
        <v>23</v>
      </c>
      <c r="D1678" s="224"/>
      <c r="E1678" s="224">
        <v>58771</v>
      </c>
      <c r="F1678" s="224"/>
      <c r="G1678" s="224">
        <v>18090</v>
      </c>
      <c r="H1678" s="224"/>
      <c r="I1678" s="224"/>
      <c r="J1678" s="224"/>
      <c r="K1678" s="224"/>
    </row>
    <row r="1679" spans="1:11">
      <c r="A1679" s="23" t="s">
        <v>81</v>
      </c>
      <c r="B1679" s="23">
        <v>21</v>
      </c>
      <c r="C1679" s="23">
        <v>26</v>
      </c>
      <c r="D1679" s="224"/>
      <c r="E1679" s="224">
        <v>2266824</v>
      </c>
      <c r="F1679" s="224">
        <v>191992</v>
      </c>
      <c r="G1679" s="224">
        <v>874309</v>
      </c>
      <c r="H1679" s="224"/>
      <c r="I1679" s="224">
        <v>10000</v>
      </c>
      <c r="J1679" s="224"/>
      <c r="K1679" s="224"/>
    </row>
    <row r="1680" spans="1:11">
      <c r="A1680" s="23" t="s">
        <v>81</v>
      </c>
      <c r="B1680" s="23">
        <v>21</v>
      </c>
      <c r="C1680" s="23">
        <v>27</v>
      </c>
      <c r="D1680" s="224">
        <v>2500</v>
      </c>
      <c r="E1680" s="224">
        <v>3949030</v>
      </c>
      <c r="F1680" s="224">
        <v>1536250</v>
      </c>
      <c r="G1680" s="224">
        <v>2328228</v>
      </c>
      <c r="H1680" s="224">
        <v>1000</v>
      </c>
      <c r="I1680" s="224">
        <v>889083</v>
      </c>
      <c r="J1680" s="224"/>
      <c r="K1680" s="224"/>
    </row>
    <row r="1681" spans="1:11">
      <c r="A1681" s="23" t="s">
        <v>81</v>
      </c>
      <c r="B1681" s="23">
        <v>21</v>
      </c>
      <c r="C1681" s="23">
        <v>31</v>
      </c>
      <c r="D1681" s="224"/>
      <c r="E1681" s="224">
        <v>115987</v>
      </c>
      <c r="F1681" s="224">
        <v>10000</v>
      </c>
      <c r="G1681" s="224">
        <v>40321</v>
      </c>
      <c r="H1681" s="224"/>
      <c r="I1681" s="224">
        <v>100000</v>
      </c>
      <c r="J1681" s="224"/>
      <c r="K1681" s="224"/>
    </row>
    <row r="1682" spans="1:11">
      <c r="A1682" s="23" t="s">
        <v>81</v>
      </c>
      <c r="B1682" s="23">
        <v>21</v>
      </c>
      <c r="C1682" s="23">
        <v>33</v>
      </c>
      <c r="D1682" s="224"/>
      <c r="E1682" s="224"/>
      <c r="F1682" s="224"/>
      <c r="G1682" s="224"/>
      <c r="H1682" s="224">
        <v>5000</v>
      </c>
      <c r="I1682" s="224"/>
      <c r="J1682" s="224"/>
      <c r="K1682" s="224"/>
    </row>
    <row r="1683" spans="1:11">
      <c r="A1683" s="23" t="s">
        <v>81</v>
      </c>
      <c r="B1683" s="23">
        <v>21</v>
      </c>
      <c r="C1683" s="23">
        <v>34</v>
      </c>
      <c r="D1683" s="224"/>
      <c r="E1683" s="224">
        <v>118423</v>
      </c>
      <c r="F1683" s="224"/>
      <c r="G1683" s="224">
        <v>26723</v>
      </c>
      <c r="H1683" s="224"/>
      <c r="I1683" s="224"/>
      <c r="J1683" s="224"/>
      <c r="K1683" s="224"/>
    </row>
    <row r="1684" spans="1:11">
      <c r="A1684" s="23" t="s">
        <v>81</v>
      </c>
      <c r="B1684" s="23">
        <v>24</v>
      </c>
      <c r="C1684" s="23">
        <v>26</v>
      </c>
      <c r="D1684" s="224"/>
      <c r="E1684" s="224"/>
      <c r="F1684" s="224"/>
      <c r="G1684" s="224"/>
      <c r="H1684" s="224">
        <v>11000</v>
      </c>
      <c r="I1684" s="224"/>
      <c r="J1684" s="224"/>
      <c r="K1684" s="224"/>
    </row>
    <row r="1685" spans="1:11">
      <c r="A1685" s="23" t="s">
        <v>81</v>
      </c>
      <c r="B1685" s="23">
        <v>24</v>
      </c>
      <c r="C1685" s="23">
        <v>27</v>
      </c>
      <c r="D1685" s="224"/>
      <c r="E1685" s="224">
        <v>73100</v>
      </c>
      <c r="F1685" s="224">
        <v>233897</v>
      </c>
      <c r="G1685" s="224">
        <v>171933</v>
      </c>
      <c r="H1685" s="224">
        <v>19158</v>
      </c>
      <c r="I1685" s="224">
        <v>1504180</v>
      </c>
      <c r="J1685" s="224"/>
      <c r="K1685" s="224"/>
    </row>
    <row r="1686" spans="1:11">
      <c r="A1686" s="23" t="s">
        <v>81</v>
      </c>
      <c r="B1686" s="23">
        <v>24</v>
      </c>
      <c r="C1686" s="23">
        <v>31</v>
      </c>
      <c r="D1686" s="224"/>
      <c r="E1686" s="224">
        <v>124745</v>
      </c>
      <c r="F1686" s="224">
        <v>10000</v>
      </c>
      <c r="G1686" s="224">
        <v>42235</v>
      </c>
      <c r="H1686" s="224"/>
      <c r="I1686" s="224">
        <v>15000</v>
      </c>
      <c r="J1686" s="224"/>
      <c r="K1686" s="224"/>
    </row>
    <row r="1687" spans="1:11">
      <c r="A1687" s="23" t="s">
        <v>81</v>
      </c>
      <c r="B1687" s="23">
        <v>24</v>
      </c>
      <c r="C1687" s="23">
        <v>33</v>
      </c>
      <c r="D1687" s="224"/>
      <c r="E1687" s="224"/>
      <c r="F1687" s="224"/>
      <c r="G1687" s="224"/>
      <c r="H1687" s="224"/>
      <c r="I1687" s="224">
        <v>5737</v>
      </c>
      <c r="J1687" s="224"/>
      <c r="K1687" s="224"/>
    </row>
    <row r="1688" spans="1:11">
      <c r="A1688" s="23" t="s">
        <v>83</v>
      </c>
      <c r="B1688" s="23">
        <v>21</v>
      </c>
      <c r="C1688" s="23">
        <v>21</v>
      </c>
      <c r="D1688" s="224"/>
      <c r="E1688" s="224">
        <v>4500</v>
      </c>
      <c r="F1688" s="224">
        <v>36748</v>
      </c>
      <c r="G1688" s="224">
        <v>21219</v>
      </c>
      <c r="H1688" s="224">
        <v>500</v>
      </c>
      <c r="I1688" s="224">
        <v>500</v>
      </c>
      <c r="J1688" s="224">
        <v>500</v>
      </c>
      <c r="K1688" s="224"/>
    </row>
    <row r="1689" spans="1:11">
      <c r="A1689" s="23" t="s">
        <v>83</v>
      </c>
      <c r="B1689" s="23">
        <v>21</v>
      </c>
      <c r="C1689" s="23">
        <v>26</v>
      </c>
      <c r="D1689" s="224"/>
      <c r="E1689" s="224">
        <v>40989</v>
      </c>
      <c r="F1689" s="224"/>
      <c r="G1689" s="224">
        <v>15881</v>
      </c>
      <c r="H1689" s="224">
        <v>1000</v>
      </c>
      <c r="I1689" s="224">
        <v>106786</v>
      </c>
      <c r="J1689" s="224"/>
      <c r="K1689" s="224"/>
    </row>
    <row r="1690" spans="1:11">
      <c r="A1690" s="23" t="s">
        <v>83</v>
      </c>
      <c r="B1690" s="23">
        <v>21</v>
      </c>
      <c r="C1690" s="23">
        <v>27</v>
      </c>
      <c r="D1690" s="224"/>
      <c r="E1690" s="224">
        <v>192356</v>
      </c>
      <c r="F1690" s="224">
        <v>276369</v>
      </c>
      <c r="G1690" s="224">
        <v>247965</v>
      </c>
      <c r="H1690" s="224">
        <v>4912</v>
      </c>
      <c r="I1690" s="224">
        <v>5069</v>
      </c>
      <c r="J1690" s="224"/>
      <c r="K1690" s="224"/>
    </row>
    <row r="1691" spans="1:11">
      <c r="A1691" s="23" t="s">
        <v>83</v>
      </c>
      <c r="B1691" s="23">
        <v>21</v>
      </c>
      <c r="C1691" s="23">
        <v>31</v>
      </c>
      <c r="D1691" s="224"/>
      <c r="E1691" s="224"/>
      <c r="F1691" s="224"/>
      <c r="G1691" s="224"/>
      <c r="H1691" s="224"/>
      <c r="I1691" s="224">
        <v>3000</v>
      </c>
      <c r="J1691" s="224"/>
      <c r="K1691" s="224"/>
    </row>
    <row r="1692" spans="1:11">
      <c r="A1692" s="23" t="s">
        <v>83</v>
      </c>
      <c r="B1692" s="23">
        <v>21</v>
      </c>
      <c r="C1692" s="23">
        <v>34</v>
      </c>
      <c r="D1692" s="224"/>
      <c r="E1692" s="224">
        <v>3306</v>
      </c>
      <c r="F1692" s="224"/>
      <c r="G1692" s="224">
        <v>756</v>
      </c>
      <c r="H1692" s="224"/>
      <c r="I1692" s="224"/>
      <c r="J1692" s="224"/>
      <c r="K1692" s="224"/>
    </row>
    <row r="1693" spans="1:11">
      <c r="A1693" s="23" t="s">
        <v>83</v>
      </c>
      <c r="B1693" s="23">
        <v>24</v>
      </c>
      <c r="C1693" s="23">
        <v>26</v>
      </c>
      <c r="D1693" s="224"/>
      <c r="E1693" s="224"/>
      <c r="F1693" s="224"/>
      <c r="G1693" s="224"/>
      <c r="H1693" s="224"/>
      <c r="I1693" s="224">
        <v>112725</v>
      </c>
      <c r="J1693" s="224"/>
      <c r="K1693" s="224"/>
    </row>
    <row r="1694" spans="1:11">
      <c r="A1694" s="23" t="s">
        <v>85</v>
      </c>
      <c r="B1694" s="23">
        <v>21</v>
      </c>
      <c r="C1694" s="23">
        <v>21</v>
      </c>
      <c r="D1694" s="224"/>
      <c r="E1694" s="224">
        <v>60232</v>
      </c>
      <c r="F1694" s="224">
        <v>37575</v>
      </c>
      <c r="G1694" s="224">
        <v>39675</v>
      </c>
      <c r="H1694" s="224"/>
      <c r="I1694" s="224"/>
      <c r="J1694" s="224"/>
      <c r="K1694" s="224"/>
    </row>
    <row r="1695" spans="1:11">
      <c r="A1695" s="23" t="s">
        <v>85</v>
      </c>
      <c r="B1695" s="23">
        <v>21</v>
      </c>
      <c r="C1695" s="23">
        <v>26</v>
      </c>
      <c r="D1695" s="224"/>
      <c r="E1695" s="224"/>
      <c r="F1695" s="224"/>
      <c r="G1695" s="224"/>
      <c r="H1695" s="224">
        <v>1000</v>
      </c>
      <c r="I1695" s="224">
        <v>40000</v>
      </c>
      <c r="J1695" s="224"/>
      <c r="K1695" s="224"/>
    </row>
    <row r="1696" spans="1:11">
      <c r="A1696" s="23" t="s">
        <v>85</v>
      </c>
      <c r="B1696" s="23">
        <v>21</v>
      </c>
      <c r="C1696" s="23">
        <v>27</v>
      </c>
      <c r="D1696" s="224"/>
      <c r="E1696" s="224">
        <v>121757</v>
      </c>
      <c r="F1696" s="224">
        <v>315134</v>
      </c>
      <c r="G1696" s="224">
        <v>250065</v>
      </c>
      <c r="H1696" s="224">
        <v>29000</v>
      </c>
      <c r="I1696" s="224">
        <v>5000</v>
      </c>
      <c r="J1696" s="224"/>
      <c r="K1696" s="224"/>
    </row>
    <row r="1697" spans="1:11">
      <c r="A1697" s="23" t="s">
        <v>85</v>
      </c>
      <c r="B1697" s="23">
        <v>21</v>
      </c>
      <c r="C1697" s="23">
        <v>31</v>
      </c>
      <c r="D1697" s="224"/>
      <c r="E1697" s="224"/>
      <c r="F1697" s="224"/>
      <c r="G1697" s="224">
        <v>386</v>
      </c>
      <c r="H1697" s="224"/>
      <c r="I1697" s="224"/>
      <c r="J1697" s="224"/>
      <c r="K1697" s="224"/>
    </row>
    <row r="1698" spans="1:11">
      <c r="A1698" s="23" t="s">
        <v>85</v>
      </c>
      <c r="B1698" s="23">
        <v>21</v>
      </c>
      <c r="C1698" s="23">
        <v>33</v>
      </c>
      <c r="D1698" s="224"/>
      <c r="E1698" s="224"/>
      <c r="F1698" s="224"/>
      <c r="G1698" s="224"/>
      <c r="H1698" s="224">
        <v>1000</v>
      </c>
      <c r="I1698" s="224">
        <v>250</v>
      </c>
      <c r="J1698" s="224"/>
      <c r="K1698" s="224"/>
    </row>
    <row r="1699" spans="1:11">
      <c r="A1699" s="23" t="s">
        <v>85</v>
      </c>
      <c r="B1699" s="23">
        <v>21</v>
      </c>
      <c r="C1699" s="23">
        <v>34</v>
      </c>
      <c r="D1699" s="224"/>
      <c r="E1699" s="224">
        <v>1675</v>
      </c>
      <c r="F1699" s="224"/>
      <c r="G1699" s="224">
        <v>7</v>
      </c>
      <c r="H1699" s="224"/>
      <c r="I1699" s="224"/>
      <c r="J1699" s="224"/>
      <c r="K1699" s="224"/>
    </row>
    <row r="1700" spans="1:11">
      <c r="A1700" s="23" t="s">
        <v>85</v>
      </c>
      <c r="B1700" s="23">
        <v>24</v>
      </c>
      <c r="C1700" s="23">
        <v>27</v>
      </c>
      <c r="D1700" s="224"/>
      <c r="E1700" s="224">
        <v>45204</v>
      </c>
      <c r="F1700" s="224">
        <v>44339</v>
      </c>
      <c r="G1700" s="224">
        <v>45528</v>
      </c>
      <c r="H1700" s="224">
        <v>2217</v>
      </c>
      <c r="I1700" s="224"/>
      <c r="J1700" s="224"/>
      <c r="K1700" s="224"/>
    </row>
    <row r="1701" spans="1:11">
      <c r="A1701" s="23" t="s">
        <v>567</v>
      </c>
      <c r="B1701" s="23">
        <v>21</v>
      </c>
      <c r="C1701" s="23">
        <v>21</v>
      </c>
      <c r="D1701" s="224"/>
      <c r="E1701" s="224">
        <v>370401</v>
      </c>
      <c r="F1701" s="224">
        <v>330283</v>
      </c>
      <c r="G1701" s="224">
        <v>254621</v>
      </c>
      <c r="H1701" s="224">
        <v>10100</v>
      </c>
      <c r="I1701" s="224">
        <v>2500</v>
      </c>
      <c r="J1701" s="224"/>
      <c r="K1701" s="224"/>
    </row>
    <row r="1702" spans="1:11">
      <c r="A1702" s="23" t="s">
        <v>567</v>
      </c>
      <c r="B1702" s="23">
        <v>21</v>
      </c>
      <c r="C1702" s="23">
        <v>24</v>
      </c>
      <c r="D1702" s="224"/>
      <c r="E1702" s="224">
        <v>128117</v>
      </c>
      <c r="F1702" s="224"/>
      <c r="G1702" s="224">
        <v>40952</v>
      </c>
      <c r="H1702" s="224"/>
      <c r="I1702" s="224"/>
      <c r="J1702" s="224">
        <v>500</v>
      </c>
      <c r="K1702" s="224"/>
    </row>
    <row r="1703" spans="1:11">
      <c r="A1703" s="23" t="s">
        <v>567</v>
      </c>
      <c r="B1703" s="23">
        <v>21</v>
      </c>
      <c r="C1703" s="23">
        <v>26</v>
      </c>
      <c r="D1703" s="224"/>
      <c r="E1703" s="224">
        <v>640756</v>
      </c>
      <c r="F1703" s="224">
        <v>328337</v>
      </c>
      <c r="G1703" s="224">
        <v>410857</v>
      </c>
      <c r="H1703" s="224">
        <v>55000</v>
      </c>
      <c r="I1703" s="224">
        <v>584140</v>
      </c>
      <c r="J1703" s="224"/>
      <c r="K1703" s="224"/>
    </row>
    <row r="1704" spans="1:11">
      <c r="A1704" s="23" t="s">
        <v>567</v>
      </c>
      <c r="B1704" s="23">
        <v>21</v>
      </c>
      <c r="C1704" s="23">
        <v>27</v>
      </c>
      <c r="D1704" s="224"/>
      <c r="E1704" s="224">
        <v>7544026</v>
      </c>
      <c r="F1704" s="224">
        <v>5707516</v>
      </c>
      <c r="G1704" s="224">
        <v>6083321</v>
      </c>
      <c r="H1704" s="224">
        <v>75000</v>
      </c>
      <c r="I1704" s="224">
        <v>335000</v>
      </c>
      <c r="J1704" s="224"/>
      <c r="K1704" s="224"/>
    </row>
    <row r="1705" spans="1:11">
      <c r="A1705" s="23" t="s">
        <v>567</v>
      </c>
      <c r="B1705" s="23">
        <v>21</v>
      </c>
      <c r="C1705" s="23">
        <v>31</v>
      </c>
      <c r="D1705" s="224"/>
      <c r="E1705" s="224">
        <v>118596</v>
      </c>
      <c r="F1705" s="224"/>
      <c r="G1705" s="224">
        <v>52149</v>
      </c>
      <c r="H1705" s="224"/>
      <c r="I1705" s="224"/>
      <c r="J1705" s="224"/>
      <c r="K1705" s="224"/>
    </row>
    <row r="1706" spans="1:11">
      <c r="A1706" s="23" t="s">
        <v>567</v>
      </c>
      <c r="B1706" s="23">
        <v>24</v>
      </c>
      <c r="C1706" s="23">
        <v>26</v>
      </c>
      <c r="D1706" s="224"/>
      <c r="E1706" s="224">
        <v>3025704</v>
      </c>
      <c r="F1706" s="224"/>
      <c r="G1706" s="224">
        <v>1108619</v>
      </c>
      <c r="H1706" s="224"/>
      <c r="I1706" s="224"/>
      <c r="J1706" s="224"/>
      <c r="K1706" s="224"/>
    </row>
    <row r="1707" spans="1:11">
      <c r="A1707" s="23" t="s">
        <v>567</v>
      </c>
      <c r="B1707" s="23">
        <v>24</v>
      </c>
      <c r="C1707" s="23">
        <v>27</v>
      </c>
      <c r="D1707" s="224"/>
      <c r="E1707" s="224"/>
      <c r="F1707" s="224">
        <v>1278</v>
      </c>
      <c r="G1707" s="224">
        <v>306</v>
      </c>
      <c r="H1707" s="224"/>
      <c r="I1707" s="224"/>
      <c r="J1707" s="224"/>
      <c r="K1707" s="224"/>
    </row>
    <row r="1708" spans="1:11">
      <c r="A1708" s="23" t="s">
        <v>569</v>
      </c>
      <c r="B1708" s="23">
        <v>21</v>
      </c>
      <c r="C1708" s="23">
        <v>21</v>
      </c>
      <c r="D1708" s="224"/>
      <c r="E1708" s="224">
        <v>78329</v>
      </c>
      <c r="F1708" s="224">
        <v>82472</v>
      </c>
      <c r="G1708" s="224">
        <v>55871</v>
      </c>
      <c r="H1708" s="224">
        <v>500</v>
      </c>
      <c r="I1708" s="224">
        <v>5300</v>
      </c>
      <c r="J1708" s="224"/>
      <c r="K1708" s="224"/>
    </row>
    <row r="1709" spans="1:11">
      <c r="A1709" s="23" t="s">
        <v>569</v>
      </c>
      <c r="B1709" s="23">
        <v>21</v>
      </c>
      <c r="C1709" s="23">
        <v>26</v>
      </c>
      <c r="D1709" s="224"/>
      <c r="E1709" s="224">
        <v>264459</v>
      </c>
      <c r="F1709" s="224"/>
      <c r="G1709" s="224">
        <v>104888</v>
      </c>
      <c r="H1709" s="224">
        <v>3150</v>
      </c>
      <c r="I1709" s="224"/>
      <c r="J1709" s="224"/>
      <c r="K1709" s="224"/>
    </row>
    <row r="1710" spans="1:11">
      <c r="A1710" s="23" t="s">
        <v>569</v>
      </c>
      <c r="B1710" s="23">
        <v>21</v>
      </c>
      <c r="C1710" s="23">
        <v>27</v>
      </c>
      <c r="D1710" s="224"/>
      <c r="E1710" s="224">
        <v>665486</v>
      </c>
      <c r="F1710" s="224">
        <v>575850</v>
      </c>
      <c r="G1710" s="224">
        <v>647087</v>
      </c>
      <c r="H1710" s="224">
        <v>4600</v>
      </c>
      <c r="I1710" s="224">
        <v>10750</v>
      </c>
      <c r="J1710" s="224"/>
      <c r="K1710" s="224"/>
    </row>
    <row r="1711" spans="1:11">
      <c r="A1711" s="23" t="s">
        <v>569</v>
      </c>
      <c r="B1711" s="23">
        <v>21</v>
      </c>
      <c r="C1711" s="23">
        <v>34</v>
      </c>
      <c r="D1711" s="224"/>
      <c r="E1711" s="224">
        <v>5452</v>
      </c>
      <c r="F1711" s="224"/>
      <c r="G1711" s="224">
        <v>1320</v>
      </c>
      <c r="H1711" s="224"/>
      <c r="I1711" s="224"/>
      <c r="J1711" s="224"/>
      <c r="K1711" s="224"/>
    </row>
    <row r="1712" spans="1:11">
      <c r="A1712" s="23" t="s">
        <v>569</v>
      </c>
      <c r="B1712" s="23">
        <v>23</v>
      </c>
      <c r="C1712" s="23">
        <v>26</v>
      </c>
      <c r="D1712" s="224"/>
      <c r="E1712" s="224"/>
      <c r="F1712" s="224"/>
      <c r="G1712" s="224"/>
      <c r="H1712" s="224">
        <v>55978</v>
      </c>
      <c r="I1712" s="224"/>
      <c r="J1712" s="224"/>
      <c r="K1712" s="224"/>
    </row>
    <row r="1713" spans="1:11">
      <c r="A1713" s="23" t="s">
        <v>569</v>
      </c>
      <c r="B1713" s="23">
        <v>23</v>
      </c>
      <c r="C1713" s="23">
        <v>27</v>
      </c>
      <c r="D1713" s="224"/>
      <c r="E1713" s="224"/>
      <c r="F1713" s="224"/>
      <c r="G1713" s="224"/>
      <c r="H1713" s="224"/>
      <c r="I1713" s="224">
        <v>4689</v>
      </c>
      <c r="J1713" s="224"/>
      <c r="K1713" s="224"/>
    </row>
    <row r="1714" spans="1:11">
      <c r="A1714" s="23" t="s">
        <v>569</v>
      </c>
      <c r="B1714" s="23">
        <v>24</v>
      </c>
      <c r="C1714" s="23">
        <v>26</v>
      </c>
      <c r="D1714" s="224"/>
      <c r="E1714" s="224">
        <v>246031</v>
      </c>
      <c r="F1714" s="224"/>
      <c r="G1714" s="224">
        <v>86715</v>
      </c>
      <c r="H1714" s="224"/>
      <c r="I1714" s="224"/>
      <c r="J1714" s="224"/>
      <c r="K1714" s="224"/>
    </row>
    <row r="1715" spans="1:11">
      <c r="A1715" s="23" t="s">
        <v>571</v>
      </c>
      <c r="B1715" s="23">
        <v>21</v>
      </c>
      <c r="C1715" s="23">
        <v>27</v>
      </c>
      <c r="D1715" s="224"/>
      <c r="E1715" s="224">
        <v>96619</v>
      </c>
      <c r="F1715" s="224">
        <v>29818</v>
      </c>
      <c r="G1715" s="224">
        <v>53635</v>
      </c>
      <c r="H1715" s="224">
        <v>2000</v>
      </c>
      <c r="I1715" s="224">
        <v>129386</v>
      </c>
      <c r="J1715" s="224">
        <v>6849</v>
      </c>
      <c r="K1715" s="224"/>
    </row>
    <row r="1716" spans="1:11">
      <c r="A1716" s="23" t="s">
        <v>571</v>
      </c>
      <c r="B1716" s="23">
        <v>24</v>
      </c>
      <c r="C1716" s="23">
        <v>29</v>
      </c>
      <c r="D1716" s="224"/>
      <c r="E1716" s="224"/>
      <c r="F1716" s="224"/>
      <c r="G1716" s="224"/>
      <c r="H1716" s="224"/>
      <c r="I1716" s="224">
        <v>42000</v>
      </c>
      <c r="J1716" s="224"/>
      <c r="K1716" s="224"/>
    </row>
    <row r="1717" spans="1:11">
      <c r="A1717" s="23" t="s">
        <v>937</v>
      </c>
      <c r="B1717" s="23">
        <v>21</v>
      </c>
      <c r="C1717" s="23">
        <v>21</v>
      </c>
      <c r="D1717" s="224"/>
      <c r="E1717" s="224">
        <v>41151</v>
      </c>
      <c r="F1717" s="224"/>
      <c r="G1717" s="224">
        <v>22048</v>
      </c>
      <c r="H1717" s="224">
        <v>215</v>
      </c>
      <c r="I1717" s="224"/>
      <c r="J1717" s="224"/>
      <c r="K1717" s="224"/>
    </row>
    <row r="1718" spans="1:11">
      <c r="A1718" s="23" t="s">
        <v>937</v>
      </c>
      <c r="B1718" s="23">
        <v>21</v>
      </c>
      <c r="C1718" s="23">
        <v>26</v>
      </c>
      <c r="D1718" s="224"/>
      <c r="E1718" s="224">
        <v>3151</v>
      </c>
      <c r="F1718" s="224"/>
      <c r="G1718" s="224">
        <v>1347</v>
      </c>
      <c r="H1718" s="224">
        <v>2800</v>
      </c>
      <c r="I1718" s="224">
        <v>150000</v>
      </c>
      <c r="J1718" s="224"/>
      <c r="K1718" s="224"/>
    </row>
    <row r="1719" spans="1:11">
      <c r="A1719" s="23" t="s">
        <v>937</v>
      </c>
      <c r="B1719" s="23">
        <v>21</v>
      </c>
      <c r="C1719" s="23">
        <v>27</v>
      </c>
      <c r="D1719" s="224"/>
      <c r="E1719" s="224">
        <v>159037</v>
      </c>
      <c r="F1719" s="224">
        <v>162260</v>
      </c>
      <c r="G1719" s="224">
        <v>187656</v>
      </c>
      <c r="H1719" s="224">
        <v>36781</v>
      </c>
      <c r="I1719" s="224"/>
      <c r="J1719" s="224"/>
      <c r="K1719" s="224"/>
    </row>
    <row r="1720" spans="1:11">
      <c r="A1720" s="23" t="s">
        <v>937</v>
      </c>
      <c r="B1720" s="23">
        <v>21</v>
      </c>
      <c r="C1720" s="23">
        <v>34</v>
      </c>
      <c r="D1720" s="224"/>
      <c r="E1720" s="224">
        <v>4919</v>
      </c>
      <c r="F1720" s="224"/>
      <c r="G1720" s="224">
        <v>2258</v>
      </c>
      <c r="H1720" s="224"/>
      <c r="I1720" s="224"/>
      <c r="J1720" s="224"/>
      <c r="K1720" s="224"/>
    </row>
    <row r="1721" spans="1:11">
      <c r="A1721" s="23" t="s">
        <v>937</v>
      </c>
      <c r="B1721" s="23">
        <v>24</v>
      </c>
      <c r="C1721" s="23">
        <v>26</v>
      </c>
      <c r="D1721" s="224"/>
      <c r="E1721" s="224">
        <v>59986</v>
      </c>
      <c r="F1721" s="224"/>
      <c r="G1721" s="224">
        <v>25642</v>
      </c>
      <c r="H1721" s="224"/>
      <c r="I1721" s="224">
        <v>3646</v>
      </c>
      <c r="J1721" s="224"/>
      <c r="K1721" s="224"/>
    </row>
    <row r="1722" spans="1:11">
      <c r="A1722" s="23" t="s">
        <v>573</v>
      </c>
      <c r="B1722" s="23">
        <v>21</v>
      </c>
      <c r="C1722" s="23">
        <v>21</v>
      </c>
      <c r="D1722" s="224">
        <v>6430</v>
      </c>
      <c r="E1722" s="224">
        <v>832080</v>
      </c>
      <c r="F1722" s="224">
        <v>373135</v>
      </c>
      <c r="G1722" s="224">
        <v>410843</v>
      </c>
      <c r="H1722" s="224">
        <v>-242819</v>
      </c>
      <c r="I1722" s="224">
        <v>-8202</v>
      </c>
      <c r="J1722" s="224">
        <v>3162</v>
      </c>
      <c r="K1722" s="224"/>
    </row>
    <row r="1723" spans="1:11">
      <c r="A1723" s="23" t="s">
        <v>573</v>
      </c>
      <c r="B1723" s="23">
        <v>21</v>
      </c>
      <c r="C1723" s="23">
        <v>23</v>
      </c>
      <c r="D1723" s="224">
        <v>705</v>
      </c>
      <c r="E1723" s="224"/>
      <c r="F1723" s="224">
        <v>1977</v>
      </c>
      <c r="G1723" s="224">
        <v>435</v>
      </c>
      <c r="H1723" s="224">
        <v>5050</v>
      </c>
      <c r="I1723" s="224">
        <v>707</v>
      </c>
      <c r="J1723" s="224"/>
      <c r="K1723" s="224"/>
    </row>
    <row r="1724" spans="1:11">
      <c r="A1724" s="23" t="s">
        <v>573</v>
      </c>
      <c r="B1724" s="23">
        <v>21</v>
      </c>
      <c r="C1724" s="23">
        <v>24</v>
      </c>
      <c r="D1724" s="224"/>
      <c r="E1724" s="224">
        <v>1128443</v>
      </c>
      <c r="F1724" s="224"/>
      <c r="G1724" s="224">
        <v>411837</v>
      </c>
      <c r="H1724" s="224"/>
      <c r="I1724" s="224"/>
      <c r="J1724" s="224"/>
      <c r="K1724" s="224"/>
    </row>
    <row r="1725" spans="1:11">
      <c r="A1725" s="23" t="s">
        <v>573</v>
      </c>
      <c r="B1725" s="23">
        <v>21</v>
      </c>
      <c r="C1725" s="23">
        <v>26</v>
      </c>
      <c r="D1725" s="224">
        <v>23927</v>
      </c>
      <c r="E1725" s="224">
        <v>9815436</v>
      </c>
      <c r="F1725" s="224">
        <v>756039</v>
      </c>
      <c r="G1725" s="224">
        <v>3999054</v>
      </c>
      <c r="H1725" s="224">
        <v>144785</v>
      </c>
      <c r="I1725" s="224">
        <v>34466</v>
      </c>
      <c r="J1725" s="224">
        <v>23232</v>
      </c>
      <c r="K1725" s="224"/>
    </row>
    <row r="1726" spans="1:11">
      <c r="A1726" s="23" t="s">
        <v>573</v>
      </c>
      <c r="B1726" s="23">
        <v>21</v>
      </c>
      <c r="C1726" s="23">
        <v>27</v>
      </c>
      <c r="D1726" s="224">
        <v>22729</v>
      </c>
      <c r="E1726" s="224">
        <v>13168427</v>
      </c>
      <c r="F1726" s="224">
        <v>11935362</v>
      </c>
      <c r="G1726" s="224">
        <v>13013622</v>
      </c>
      <c r="H1726" s="224">
        <v>306277</v>
      </c>
      <c r="I1726" s="224">
        <v>1923954</v>
      </c>
      <c r="J1726" s="224">
        <v>-4797</v>
      </c>
      <c r="K1726" s="224"/>
    </row>
    <row r="1727" spans="1:11">
      <c r="A1727" s="23" t="s">
        <v>573</v>
      </c>
      <c r="B1727" s="23">
        <v>21</v>
      </c>
      <c r="C1727" s="23">
        <v>28</v>
      </c>
      <c r="D1727" s="224"/>
      <c r="E1727" s="224">
        <v>5105</v>
      </c>
      <c r="F1727" s="224">
        <v>9841</v>
      </c>
      <c r="G1727" s="224">
        <v>3441</v>
      </c>
      <c r="H1727" s="224"/>
      <c r="I1727" s="224">
        <v>6060</v>
      </c>
      <c r="J1727" s="224">
        <v>101</v>
      </c>
      <c r="K1727" s="224"/>
    </row>
    <row r="1728" spans="1:11">
      <c r="A1728" s="23" t="s">
        <v>573</v>
      </c>
      <c r="B1728" s="23">
        <v>21</v>
      </c>
      <c r="C1728" s="23">
        <v>31</v>
      </c>
      <c r="D1728" s="224">
        <v>337</v>
      </c>
      <c r="E1728" s="224">
        <v>974553</v>
      </c>
      <c r="F1728" s="224">
        <v>9139</v>
      </c>
      <c r="G1728" s="224">
        <v>184558</v>
      </c>
      <c r="H1728" s="224">
        <v>3334</v>
      </c>
      <c r="I1728" s="224">
        <v>32347</v>
      </c>
      <c r="J1728" s="224">
        <v>7878</v>
      </c>
      <c r="K1728" s="224"/>
    </row>
    <row r="1729" spans="1:11">
      <c r="A1729" s="23" t="s">
        <v>573</v>
      </c>
      <c r="B1729" s="23">
        <v>21</v>
      </c>
      <c r="C1729" s="23">
        <v>32</v>
      </c>
      <c r="D1729" s="224">
        <v>86965</v>
      </c>
      <c r="E1729" s="224"/>
      <c r="F1729" s="224"/>
      <c r="G1729" s="224"/>
      <c r="H1729" s="224">
        <v>85415</v>
      </c>
      <c r="I1729" s="224">
        <v>505</v>
      </c>
      <c r="J1729" s="224"/>
      <c r="K1729" s="224"/>
    </row>
    <row r="1730" spans="1:11">
      <c r="A1730" s="23" t="s">
        <v>573</v>
      </c>
      <c r="B1730" s="23">
        <v>21</v>
      </c>
      <c r="C1730" s="23">
        <v>33</v>
      </c>
      <c r="D1730" s="224"/>
      <c r="E1730" s="224">
        <v>124000</v>
      </c>
      <c r="F1730" s="224"/>
      <c r="G1730" s="224">
        <v>17954</v>
      </c>
      <c r="H1730" s="224">
        <v>243483</v>
      </c>
      <c r="I1730" s="224"/>
      <c r="J1730" s="224"/>
      <c r="K1730" s="224"/>
    </row>
    <row r="1731" spans="1:11">
      <c r="A1731" s="23" t="s">
        <v>573</v>
      </c>
      <c r="B1731" s="23">
        <v>21</v>
      </c>
      <c r="C1731" s="23">
        <v>34</v>
      </c>
      <c r="D1731" s="224"/>
      <c r="E1731" s="224">
        <v>284553</v>
      </c>
      <c r="F1731" s="224"/>
      <c r="G1731" s="224">
        <v>63571</v>
      </c>
      <c r="H1731" s="224"/>
      <c r="I1731" s="224"/>
      <c r="J1731" s="224"/>
      <c r="K1731" s="224"/>
    </row>
    <row r="1732" spans="1:11">
      <c r="A1732" s="23" t="s">
        <v>573</v>
      </c>
      <c r="B1732" s="23">
        <v>24</v>
      </c>
      <c r="C1732" s="23">
        <v>26</v>
      </c>
      <c r="D1732" s="224">
        <v>433</v>
      </c>
      <c r="E1732" s="224">
        <v>194565</v>
      </c>
      <c r="F1732" s="224"/>
      <c r="G1732" s="224">
        <v>70838</v>
      </c>
      <c r="H1732" s="224"/>
      <c r="I1732" s="224">
        <v>51</v>
      </c>
      <c r="J1732" s="224">
        <v>253</v>
      </c>
      <c r="K1732" s="224"/>
    </row>
    <row r="1733" spans="1:11">
      <c r="A1733" s="23" t="s">
        <v>573</v>
      </c>
      <c r="B1733" s="23">
        <v>24</v>
      </c>
      <c r="C1733" s="23">
        <v>27</v>
      </c>
      <c r="D1733" s="224">
        <v>2096</v>
      </c>
      <c r="E1733" s="224">
        <v>4321213</v>
      </c>
      <c r="F1733" s="224">
        <v>67986</v>
      </c>
      <c r="G1733" s="224">
        <v>1601720</v>
      </c>
      <c r="H1733" s="224">
        <v>15004</v>
      </c>
      <c r="I1733" s="224">
        <v>57</v>
      </c>
      <c r="J1733" s="224">
        <v>391</v>
      </c>
      <c r="K1733" s="224"/>
    </row>
    <row r="1734" spans="1:11">
      <c r="A1734" s="23" t="s">
        <v>573</v>
      </c>
      <c r="B1734" s="23">
        <v>24</v>
      </c>
      <c r="C1734" s="23">
        <v>31</v>
      </c>
      <c r="D1734" s="224"/>
      <c r="E1734" s="224">
        <v>231919</v>
      </c>
      <c r="F1734" s="224"/>
      <c r="G1734" s="224">
        <v>47503</v>
      </c>
      <c r="H1734" s="224"/>
      <c r="I1734" s="224">
        <v>2500</v>
      </c>
      <c r="J1734" s="224">
        <v>8262</v>
      </c>
      <c r="K1734" s="224"/>
    </row>
    <row r="1735" spans="1:11">
      <c r="A1735" s="23" t="s">
        <v>573</v>
      </c>
      <c r="B1735" s="23">
        <v>24</v>
      </c>
      <c r="C1735" s="23">
        <v>32</v>
      </c>
      <c r="D1735" s="224">
        <v>12017</v>
      </c>
      <c r="E1735" s="224"/>
      <c r="F1735" s="224"/>
      <c r="G1735" s="224"/>
      <c r="H1735" s="224">
        <v>51</v>
      </c>
      <c r="I1735" s="224"/>
      <c r="J1735" s="224"/>
      <c r="K1735" s="224"/>
    </row>
    <row r="1736" spans="1:11">
      <c r="A1736" s="23" t="s">
        <v>573</v>
      </c>
      <c r="B1736" s="23">
        <v>24</v>
      </c>
      <c r="C1736" s="23">
        <v>33</v>
      </c>
      <c r="D1736" s="224"/>
      <c r="E1736" s="224"/>
      <c r="F1736" s="224"/>
      <c r="G1736" s="224"/>
      <c r="H1736" s="224">
        <v>101</v>
      </c>
      <c r="I1736" s="224"/>
      <c r="J1736" s="224"/>
      <c r="K1736" s="224"/>
    </row>
    <row r="1737" spans="1:11">
      <c r="A1737" s="23" t="s">
        <v>541</v>
      </c>
      <c r="B1737" s="23">
        <v>21</v>
      </c>
      <c r="C1737" s="23">
        <v>26</v>
      </c>
      <c r="D1737" s="224"/>
      <c r="E1737" s="224"/>
      <c r="F1737" s="224"/>
      <c r="G1737" s="224"/>
      <c r="H1737" s="224"/>
      <c r="I1737" s="224">
        <v>10000</v>
      </c>
      <c r="J1737" s="224"/>
      <c r="K1737" s="224"/>
    </row>
    <row r="1738" spans="1:11">
      <c r="A1738" s="23" t="s">
        <v>541</v>
      </c>
      <c r="B1738" s="23">
        <v>21</v>
      </c>
      <c r="C1738" s="23">
        <v>27</v>
      </c>
      <c r="D1738" s="224"/>
      <c r="E1738" s="224">
        <v>97803</v>
      </c>
      <c r="F1738" s="224"/>
      <c r="G1738" s="224">
        <v>41270</v>
      </c>
      <c r="H1738" s="224">
        <v>600</v>
      </c>
      <c r="I1738" s="224"/>
      <c r="J1738" s="224"/>
      <c r="K1738" s="224"/>
    </row>
    <row r="1739" spans="1:11">
      <c r="A1739" s="23" t="s">
        <v>541</v>
      </c>
      <c r="B1739" s="23">
        <v>24</v>
      </c>
      <c r="C1739" s="23">
        <v>26</v>
      </c>
      <c r="D1739" s="224"/>
      <c r="E1739" s="224"/>
      <c r="F1739" s="224"/>
      <c r="G1739" s="224"/>
      <c r="H1739" s="224"/>
      <c r="I1739" s="224">
        <v>20473</v>
      </c>
      <c r="J1739" s="224"/>
      <c r="K1739" s="224"/>
    </row>
    <row r="1740" spans="1:11">
      <c r="A1740" s="23" t="s">
        <v>543</v>
      </c>
      <c r="B1740" s="23">
        <v>21</v>
      </c>
      <c r="C1740" s="23">
        <v>27</v>
      </c>
      <c r="D1740" s="224"/>
      <c r="E1740" s="224">
        <v>78784</v>
      </c>
      <c r="F1740" s="224">
        <v>44096</v>
      </c>
      <c r="G1740" s="224">
        <v>59406</v>
      </c>
      <c r="H1740" s="224">
        <v>1000</v>
      </c>
      <c r="I1740" s="224">
        <v>22500</v>
      </c>
      <c r="J1740" s="224">
        <v>300</v>
      </c>
      <c r="K1740" s="224"/>
    </row>
    <row r="1741" spans="1:11">
      <c r="A1741" s="23" t="s">
        <v>543</v>
      </c>
      <c r="B1741" s="23">
        <v>21</v>
      </c>
      <c r="C1741" s="23">
        <v>31</v>
      </c>
      <c r="D1741" s="224"/>
      <c r="E1741" s="224">
        <v>3000</v>
      </c>
      <c r="F1741" s="224"/>
      <c r="G1741" s="224">
        <v>696</v>
      </c>
      <c r="H1741" s="224"/>
      <c r="I1741" s="224"/>
      <c r="J1741" s="224"/>
      <c r="K1741" s="224"/>
    </row>
    <row r="1742" spans="1:11">
      <c r="A1742" s="23" t="s">
        <v>543</v>
      </c>
      <c r="B1742" s="23">
        <v>24</v>
      </c>
      <c r="C1742" s="23">
        <v>27</v>
      </c>
      <c r="D1742" s="224"/>
      <c r="E1742" s="224"/>
      <c r="F1742" s="224"/>
      <c r="G1742" s="224"/>
      <c r="H1742" s="224"/>
      <c r="I1742" s="224">
        <v>50000</v>
      </c>
      <c r="J1742" s="224"/>
      <c r="K1742" s="224"/>
    </row>
    <row r="1743" spans="1:11">
      <c r="A1743" s="23" t="s">
        <v>57</v>
      </c>
      <c r="B1743" s="23">
        <v>21</v>
      </c>
      <c r="C1743" s="23">
        <v>21</v>
      </c>
      <c r="D1743" s="224"/>
      <c r="E1743" s="224">
        <v>372599</v>
      </c>
      <c r="F1743" s="224">
        <v>366314</v>
      </c>
      <c r="G1743" s="224">
        <v>241761</v>
      </c>
      <c r="H1743" s="224">
        <v>5000</v>
      </c>
      <c r="I1743" s="224">
        <v>3100</v>
      </c>
      <c r="J1743" s="224"/>
      <c r="K1743" s="224"/>
    </row>
    <row r="1744" spans="1:11">
      <c r="A1744" s="23" t="s">
        <v>57</v>
      </c>
      <c r="B1744" s="23">
        <v>21</v>
      </c>
      <c r="C1744" s="23">
        <v>26</v>
      </c>
      <c r="D1744" s="224"/>
      <c r="E1744" s="224">
        <v>1543851</v>
      </c>
      <c r="F1744" s="224">
        <v>191678</v>
      </c>
      <c r="G1744" s="224">
        <v>643821</v>
      </c>
      <c r="H1744" s="224">
        <v>6500</v>
      </c>
      <c r="I1744" s="224">
        <v>67000</v>
      </c>
      <c r="J1744" s="224">
        <v>2000</v>
      </c>
      <c r="K1744" s="224"/>
    </row>
    <row r="1745" spans="1:11">
      <c r="A1745" s="23" t="s">
        <v>57</v>
      </c>
      <c r="B1745" s="23">
        <v>21</v>
      </c>
      <c r="C1745" s="23">
        <v>27</v>
      </c>
      <c r="D1745" s="224"/>
      <c r="E1745" s="224">
        <v>3096082</v>
      </c>
      <c r="F1745" s="224">
        <v>3830878</v>
      </c>
      <c r="G1745" s="224">
        <v>3246353</v>
      </c>
      <c r="H1745" s="224">
        <v>18500</v>
      </c>
      <c r="I1745" s="224">
        <v>549520</v>
      </c>
      <c r="J1745" s="224"/>
      <c r="K1745" s="224"/>
    </row>
    <row r="1746" spans="1:11">
      <c r="A1746" s="23" t="s">
        <v>57</v>
      </c>
      <c r="B1746" s="23">
        <v>21</v>
      </c>
      <c r="C1746" s="23">
        <v>31</v>
      </c>
      <c r="D1746" s="224"/>
      <c r="E1746" s="224">
        <v>10000</v>
      </c>
      <c r="F1746" s="224"/>
      <c r="G1746" s="224">
        <v>3249</v>
      </c>
      <c r="H1746" s="224"/>
      <c r="I1746" s="224">
        <v>8000</v>
      </c>
      <c r="J1746" s="224"/>
      <c r="K1746" s="224"/>
    </row>
    <row r="1747" spans="1:11">
      <c r="A1747" s="23" t="s">
        <v>57</v>
      </c>
      <c r="B1747" s="23">
        <v>24</v>
      </c>
      <c r="C1747" s="23">
        <v>26</v>
      </c>
      <c r="D1747" s="224"/>
      <c r="E1747" s="224">
        <v>632779</v>
      </c>
      <c r="F1747" s="224"/>
      <c r="G1747" s="224">
        <v>227340</v>
      </c>
      <c r="H1747" s="224"/>
      <c r="I1747" s="224"/>
      <c r="J1747" s="224"/>
      <c r="K1747" s="224"/>
    </row>
    <row r="1748" spans="1:11">
      <c r="A1748" s="23" t="s">
        <v>57</v>
      </c>
      <c r="B1748" s="23">
        <v>24</v>
      </c>
      <c r="C1748" s="23">
        <v>27</v>
      </c>
      <c r="D1748" s="224"/>
      <c r="E1748" s="224"/>
      <c r="F1748" s="224">
        <v>20381</v>
      </c>
      <c r="G1748" s="224">
        <v>13734</v>
      </c>
      <c r="H1748" s="224"/>
      <c r="I1748" s="224">
        <v>2279</v>
      </c>
      <c r="J1748" s="224"/>
      <c r="K1748" s="224"/>
    </row>
    <row r="1749" spans="1:11">
      <c r="A1749" s="23" t="s">
        <v>59</v>
      </c>
      <c r="B1749" s="23">
        <v>21</v>
      </c>
      <c r="C1749" s="23">
        <v>27</v>
      </c>
      <c r="D1749" s="224"/>
      <c r="E1749" s="224"/>
      <c r="F1749" s="224"/>
      <c r="G1749" s="224"/>
      <c r="H1749" s="224"/>
      <c r="I1749" s="224">
        <v>10785</v>
      </c>
      <c r="J1749" s="224"/>
      <c r="K1749" s="224"/>
    </row>
    <row r="1750" spans="1:11">
      <c r="A1750" s="23" t="s">
        <v>61</v>
      </c>
      <c r="B1750" s="23">
        <v>21</v>
      </c>
      <c r="C1750" s="23">
        <v>21</v>
      </c>
      <c r="D1750" s="224"/>
      <c r="E1750" s="224">
        <v>12000</v>
      </c>
      <c r="F1750" s="224"/>
      <c r="G1750" s="224">
        <v>2711</v>
      </c>
      <c r="H1750" s="224"/>
      <c r="I1750" s="224"/>
      <c r="J1750" s="224"/>
      <c r="K1750" s="224"/>
    </row>
    <row r="1751" spans="1:11">
      <c r="A1751" s="23" t="s">
        <v>61</v>
      </c>
      <c r="B1751" s="23">
        <v>21</v>
      </c>
      <c r="C1751" s="23">
        <v>26</v>
      </c>
      <c r="D1751" s="224"/>
      <c r="E1751" s="224"/>
      <c r="F1751" s="224"/>
      <c r="G1751" s="224"/>
      <c r="H1751" s="224"/>
      <c r="I1751" s="224">
        <v>1195</v>
      </c>
      <c r="J1751" s="224">
        <v>760</v>
      </c>
      <c r="K1751" s="224"/>
    </row>
    <row r="1752" spans="1:11">
      <c r="A1752" s="23" t="s">
        <v>61</v>
      </c>
      <c r="B1752" s="23">
        <v>21</v>
      </c>
      <c r="C1752" s="23">
        <v>27</v>
      </c>
      <c r="D1752" s="224"/>
      <c r="E1752" s="224"/>
      <c r="F1752" s="224"/>
      <c r="G1752" s="224"/>
      <c r="H1752" s="224">
        <v>2055</v>
      </c>
      <c r="I1752" s="224">
        <v>799023</v>
      </c>
      <c r="J1752" s="224"/>
      <c r="K1752" s="224"/>
    </row>
    <row r="1753" spans="1:11">
      <c r="A1753" s="23" t="s">
        <v>61</v>
      </c>
      <c r="B1753" s="23">
        <v>24</v>
      </c>
      <c r="C1753" s="23">
        <v>27</v>
      </c>
      <c r="D1753" s="224"/>
      <c r="E1753" s="224"/>
      <c r="F1753" s="224"/>
      <c r="G1753" s="224"/>
      <c r="H1753" s="224"/>
      <c r="I1753" s="224">
        <v>8685</v>
      </c>
      <c r="J1753" s="224"/>
      <c r="K1753" s="224"/>
    </row>
    <row r="1754" spans="1:11">
      <c r="A1754" s="23" t="s">
        <v>65</v>
      </c>
      <c r="B1754" s="23">
        <v>21</v>
      </c>
      <c r="C1754" s="23">
        <v>21</v>
      </c>
      <c r="D1754" s="224"/>
      <c r="E1754" s="224">
        <v>296826</v>
      </c>
      <c r="F1754" s="224">
        <v>62712</v>
      </c>
      <c r="G1754" s="224">
        <v>120478</v>
      </c>
      <c r="H1754" s="224"/>
      <c r="I1754" s="224">
        <v>7000</v>
      </c>
      <c r="J1754" s="224"/>
      <c r="K1754" s="224"/>
    </row>
    <row r="1755" spans="1:11">
      <c r="A1755" s="23" t="s">
        <v>65</v>
      </c>
      <c r="B1755" s="23">
        <v>21</v>
      </c>
      <c r="C1755" s="23">
        <v>26</v>
      </c>
      <c r="D1755" s="224"/>
      <c r="E1755" s="224">
        <v>1137682</v>
      </c>
      <c r="F1755" s="224">
        <v>45600</v>
      </c>
      <c r="G1755" s="224">
        <v>443693</v>
      </c>
      <c r="H1755" s="224"/>
      <c r="I1755" s="224">
        <v>7000</v>
      </c>
      <c r="J1755" s="224"/>
      <c r="K1755" s="224"/>
    </row>
    <row r="1756" spans="1:11">
      <c r="A1756" s="23" t="s">
        <v>65</v>
      </c>
      <c r="B1756" s="23">
        <v>21</v>
      </c>
      <c r="C1756" s="23">
        <v>27</v>
      </c>
      <c r="D1756" s="224"/>
      <c r="E1756" s="224">
        <v>1917489</v>
      </c>
      <c r="F1756" s="224">
        <v>1033756</v>
      </c>
      <c r="G1756" s="224">
        <v>1320888</v>
      </c>
      <c r="H1756" s="224">
        <v>10800</v>
      </c>
      <c r="I1756" s="224">
        <v>108000</v>
      </c>
      <c r="J1756" s="224"/>
      <c r="K1756" s="224"/>
    </row>
    <row r="1757" spans="1:11">
      <c r="A1757" s="23" t="s">
        <v>65</v>
      </c>
      <c r="B1757" s="23">
        <v>21</v>
      </c>
      <c r="C1757" s="23">
        <v>31</v>
      </c>
      <c r="D1757" s="224"/>
      <c r="E1757" s="224"/>
      <c r="F1757" s="224"/>
      <c r="G1757" s="224"/>
      <c r="H1757" s="224"/>
      <c r="I1757" s="224">
        <v>5000</v>
      </c>
      <c r="J1757" s="224"/>
      <c r="K1757" s="224"/>
    </row>
    <row r="1758" spans="1:11">
      <c r="A1758" s="23" t="s">
        <v>65</v>
      </c>
      <c r="B1758" s="23">
        <v>21</v>
      </c>
      <c r="C1758" s="23">
        <v>33</v>
      </c>
      <c r="D1758" s="224"/>
      <c r="E1758" s="224"/>
      <c r="F1758" s="224"/>
      <c r="G1758" s="224"/>
      <c r="H1758" s="224">
        <v>10000</v>
      </c>
      <c r="I1758" s="224"/>
      <c r="J1758" s="224"/>
      <c r="K1758" s="224"/>
    </row>
    <row r="1759" spans="1:11">
      <c r="A1759" s="23" t="s">
        <v>65</v>
      </c>
      <c r="B1759" s="23">
        <v>24</v>
      </c>
      <c r="C1759" s="23">
        <v>27</v>
      </c>
      <c r="D1759" s="224"/>
      <c r="E1759" s="224">
        <v>224201</v>
      </c>
      <c r="F1759" s="224">
        <v>318144</v>
      </c>
      <c r="G1759" s="224">
        <v>272002</v>
      </c>
      <c r="H1759" s="224">
        <v>3000</v>
      </c>
      <c r="I1759" s="224">
        <v>60000</v>
      </c>
      <c r="J1759" s="224"/>
      <c r="K1759" s="224"/>
    </row>
    <row r="1760" spans="1:11">
      <c r="A1760" s="23" t="s">
        <v>65</v>
      </c>
      <c r="B1760" s="23">
        <v>24</v>
      </c>
      <c r="C1760" s="23">
        <v>29</v>
      </c>
      <c r="D1760" s="224"/>
      <c r="E1760" s="224"/>
      <c r="F1760" s="224"/>
      <c r="G1760" s="224"/>
      <c r="H1760" s="224"/>
      <c r="I1760" s="224">
        <v>56000</v>
      </c>
      <c r="J1760" s="224"/>
      <c r="K1760" s="224"/>
    </row>
    <row r="1761" spans="1:11">
      <c r="A1761" s="23" t="s">
        <v>66</v>
      </c>
      <c r="B1761" s="23">
        <v>21</v>
      </c>
      <c r="C1761" s="23">
        <v>21</v>
      </c>
      <c r="D1761" s="224"/>
      <c r="E1761" s="224">
        <v>2192</v>
      </c>
      <c r="F1761" s="224"/>
      <c r="G1761" s="224">
        <v>494</v>
      </c>
      <c r="H1761" s="224"/>
      <c r="I1761" s="224"/>
      <c r="J1761" s="224"/>
      <c r="K1761" s="224"/>
    </row>
    <row r="1762" spans="1:11">
      <c r="A1762" s="23" t="s">
        <v>66</v>
      </c>
      <c r="B1762" s="23">
        <v>21</v>
      </c>
      <c r="C1762" s="23">
        <v>26</v>
      </c>
      <c r="D1762" s="224"/>
      <c r="E1762" s="224"/>
      <c r="F1762" s="224"/>
      <c r="G1762" s="224"/>
      <c r="H1762" s="224"/>
      <c r="I1762" s="224">
        <v>25000</v>
      </c>
      <c r="J1762" s="224"/>
      <c r="K1762" s="224"/>
    </row>
    <row r="1763" spans="1:11">
      <c r="A1763" s="23" t="s">
        <v>66</v>
      </c>
      <c r="B1763" s="23">
        <v>21</v>
      </c>
      <c r="C1763" s="23">
        <v>27</v>
      </c>
      <c r="D1763" s="224"/>
      <c r="E1763" s="224">
        <v>21339</v>
      </c>
      <c r="F1763" s="224"/>
      <c r="G1763" s="224">
        <v>9067</v>
      </c>
      <c r="H1763" s="224"/>
      <c r="I1763" s="224"/>
      <c r="J1763" s="224"/>
      <c r="K1763" s="224"/>
    </row>
    <row r="1764" spans="1:11">
      <c r="A1764" s="23" t="s">
        <v>66</v>
      </c>
      <c r="B1764" s="23">
        <v>24</v>
      </c>
      <c r="C1764" s="23">
        <v>26</v>
      </c>
      <c r="D1764" s="224"/>
      <c r="E1764" s="224"/>
      <c r="F1764" s="224"/>
      <c r="G1764" s="224"/>
      <c r="H1764" s="224"/>
      <c r="I1764" s="224">
        <v>11000</v>
      </c>
      <c r="J1764" s="224"/>
      <c r="K1764" s="224"/>
    </row>
    <row r="1765" spans="1:11">
      <c r="A1765" s="23" t="s">
        <v>5</v>
      </c>
      <c r="B1765" s="23">
        <v>21</v>
      </c>
      <c r="C1765" s="23">
        <v>27</v>
      </c>
      <c r="D1765" s="224"/>
      <c r="E1765" s="224"/>
      <c r="F1765" s="224"/>
      <c r="G1765" s="224"/>
      <c r="H1765" s="224"/>
      <c r="I1765" s="224">
        <v>1300000</v>
      </c>
      <c r="J1765" s="224"/>
      <c r="K1765" s="224"/>
    </row>
    <row r="1766" spans="1:11">
      <c r="A1766" s="23" t="s">
        <v>7</v>
      </c>
      <c r="B1766" s="23">
        <v>21</v>
      </c>
      <c r="C1766" s="23">
        <v>21</v>
      </c>
      <c r="D1766" s="224"/>
      <c r="E1766" s="224">
        <v>167735</v>
      </c>
      <c r="F1766" s="224"/>
      <c r="G1766" s="224">
        <v>47963</v>
      </c>
      <c r="H1766" s="224">
        <v>250</v>
      </c>
      <c r="I1766" s="224">
        <v>2000</v>
      </c>
      <c r="J1766" s="224"/>
      <c r="K1766" s="224"/>
    </row>
    <row r="1767" spans="1:11">
      <c r="A1767" s="23" t="s">
        <v>7</v>
      </c>
      <c r="B1767" s="23">
        <v>21</v>
      </c>
      <c r="C1767" s="23">
        <v>24</v>
      </c>
      <c r="D1767" s="224"/>
      <c r="E1767" s="224"/>
      <c r="F1767" s="224"/>
      <c r="G1767" s="224"/>
      <c r="H1767" s="224">
        <v>2500</v>
      </c>
      <c r="I1767" s="224"/>
      <c r="J1767" s="224"/>
      <c r="K1767" s="224"/>
    </row>
    <row r="1768" spans="1:11">
      <c r="A1768" s="23" t="s">
        <v>7</v>
      </c>
      <c r="B1768" s="23">
        <v>21</v>
      </c>
      <c r="C1768" s="23">
        <v>26</v>
      </c>
      <c r="D1768" s="224"/>
      <c r="E1768" s="224">
        <v>214413</v>
      </c>
      <c r="F1768" s="224"/>
      <c r="G1768" s="224">
        <v>73726</v>
      </c>
      <c r="H1768" s="224"/>
      <c r="I1768" s="224"/>
      <c r="J1768" s="224"/>
      <c r="K1768" s="224"/>
    </row>
    <row r="1769" spans="1:11">
      <c r="A1769" s="23" t="s">
        <v>7</v>
      </c>
      <c r="B1769" s="23">
        <v>21</v>
      </c>
      <c r="C1769" s="23">
        <v>27</v>
      </c>
      <c r="D1769" s="224"/>
      <c r="E1769" s="224">
        <v>1313311</v>
      </c>
      <c r="F1769" s="224">
        <v>807572</v>
      </c>
      <c r="G1769" s="224">
        <v>965952</v>
      </c>
      <c r="H1769" s="224">
        <v>100</v>
      </c>
      <c r="I1769" s="224">
        <v>1101750</v>
      </c>
      <c r="J1769" s="224"/>
      <c r="K1769" s="224"/>
    </row>
    <row r="1770" spans="1:11">
      <c r="A1770" s="23" t="s">
        <v>7</v>
      </c>
      <c r="B1770" s="23">
        <v>24</v>
      </c>
      <c r="C1770" s="23">
        <v>27</v>
      </c>
      <c r="D1770" s="224"/>
      <c r="E1770" s="224">
        <v>16206</v>
      </c>
      <c r="F1770" s="224">
        <v>90361</v>
      </c>
      <c r="G1770" s="224">
        <v>62898</v>
      </c>
      <c r="H1770" s="224"/>
      <c r="I1770" s="224">
        <v>289877</v>
      </c>
      <c r="J1770" s="224"/>
      <c r="K1770" s="224"/>
    </row>
    <row r="1771" spans="1:11">
      <c r="A1771" s="23" t="s">
        <v>954</v>
      </c>
      <c r="B1771" s="23">
        <v>21</v>
      </c>
      <c r="C1771" s="23">
        <v>23</v>
      </c>
      <c r="D1771" s="224"/>
      <c r="E1771" s="224">
        <v>79808</v>
      </c>
      <c r="F1771" s="224"/>
      <c r="G1771" s="224">
        <v>25514</v>
      </c>
      <c r="H1771" s="224"/>
      <c r="I1771" s="224"/>
      <c r="J1771" s="224"/>
      <c r="K1771" s="224"/>
    </row>
    <row r="1772" spans="1:11">
      <c r="A1772" s="23" t="s">
        <v>954</v>
      </c>
      <c r="B1772" s="23">
        <v>21</v>
      </c>
      <c r="C1772" s="23">
        <v>27</v>
      </c>
      <c r="D1772" s="224"/>
      <c r="E1772" s="224">
        <v>203463</v>
      </c>
      <c r="F1772" s="224">
        <v>49121</v>
      </c>
      <c r="G1772" s="224">
        <v>74084</v>
      </c>
      <c r="H1772" s="224"/>
      <c r="I1772" s="224">
        <v>675727</v>
      </c>
      <c r="J1772" s="224"/>
      <c r="K1772" s="224"/>
    </row>
    <row r="1773" spans="1:11">
      <c r="A1773" s="23" t="s">
        <v>954</v>
      </c>
      <c r="B1773" s="23">
        <v>24</v>
      </c>
      <c r="C1773" s="23">
        <v>27</v>
      </c>
      <c r="D1773" s="224"/>
      <c r="E1773" s="224">
        <v>153822</v>
      </c>
      <c r="F1773" s="224"/>
      <c r="G1773" s="224">
        <v>55013</v>
      </c>
      <c r="H1773" s="224"/>
      <c r="I1773" s="224"/>
      <c r="J1773" s="224"/>
      <c r="K1773" s="224"/>
    </row>
    <row r="1774" spans="1:11">
      <c r="A1774" s="23" t="s">
        <v>934</v>
      </c>
      <c r="B1774" s="23">
        <v>21</v>
      </c>
      <c r="C1774" s="23">
        <v>23</v>
      </c>
      <c r="D1774" s="224"/>
      <c r="E1774" s="224">
        <v>39904</v>
      </c>
      <c r="F1774" s="224"/>
      <c r="G1774" s="224">
        <v>12757</v>
      </c>
      <c r="H1774" s="224"/>
      <c r="I1774" s="224"/>
      <c r="J1774" s="224"/>
      <c r="K1774" s="224"/>
    </row>
    <row r="1775" spans="1:11">
      <c r="A1775" s="23" t="s">
        <v>934</v>
      </c>
      <c r="B1775" s="23">
        <v>21</v>
      </c>
      <c r="C1775" s="23">
        <v>27</v>
      </c>
      <c r="D1775" s="224"/>
      <c r="E1775" s="224">
        <v>134762</v>
      </c>
      <c r="F1775" s="224">
        <v>42429</v>
      </c>
      <c r="G1775" s="224">
        <v>56335</v>
      </c>
      <c r="H1775" s="224"/>
      <c r="I1775" s="224">
        <v>151016</v>
      </c>
      <c r="J1775" s="224"/>
      <c r="K1775" s="224"/>
    </row>
    <row r="1776" spans="1:11">
      <c r="A1776" s="23" t="s">
        <v>934</v>
      </c>
      <c r="B1776" s="23">
        <v>24</v>
      </c>
      <c r="C1776" s="23">
        <v>27</v>
      </c>
      <c r="D1776" s="224"/>
      <c r="E1776" s="224">
        <v>30238</v>
      </c>
      <c r="F1776" s="224"/>
      <c r="G1776" s="224">
        <v>11103</v>
      </c>
      <c r="H1776" s="224"/>
      <c r="I1776" s="224"/>
      <c r="J1776" s="224"/>
      <c r="K1776" s="224"/>
    </row>
    <row r="1777" spans="1:11">
      <c r="A1777" s="23" t="s">
        <v>933</v>
      </c>
      <c r="B1777" s="23">
        <v>21</v>
      </c>
      <c r="C1777" s="23">
        <v>23</v>
      </c>
      <c r="D1777" s="224"/>
      <c r="E1777" s="224">
        <v>39904</v>
      </c>
      <c r="F1777" s="224"/>
      <c r="G1777" s="224">
        <v>12757</v>
      </c>
      <c r="H1777" s="224"/>
      <c r="I1777" s="224"/>
      <c r="J1777" s="224"/>
      <c r="K1777" s="224"/>
    </row>
    <row r="1778" spans="1:11">
      <c r="A1778" s="23" t="s">
        <v>933</v>
      </c>
      <c r="B1778" s="23">
        <v>21</v>
      </c>
      <c r="C1778" s="23">
        <v>27</v>
      </c>
      <c r="D1778" s="224"/>
      <c r="E1778" s="224">
        <v>171042</v>
      </c>
      <c r="F1778" s="224">
        <v>3296</v>
      </c>
      <c r="G1778" s="224">
        <v>66347</v>
      </c>
      <c r="H1778" s="224"/>
      <c r="I1778" s="224">
        <v>459322</v>
      </c>
      <c r="J1778" s="224"/>
      <c r="K1778" s="224"/>
    </row>
    <row r="1779" spans="1:11">
      <c r="A1779" s="23" t="s">
        <v>933</v>
      </c>
      <c r="B1779" s="23">
        <v>24</v>
      </c>
      <c r="C1779" s="23">
        <v>27</v>
      </c>
      <c r="D1779" s="224"/>
      <c r="E1779" s="224">
        <v>38182</v>
      </c>
      <c r="F1779" s="224"/>
      <c r="G1779" s="224">
        <v>14893</v>
      </c>
      <c r="H1779" s="224"/>
      <c r="I1779" s="224"/>
      <c r="J1779" s="224"/>
      <c r="K1779" s="224"/>
    </row>
    <row r="1780" spans="1:11">
      <c r="A1780" s="23" t="s">
        <v>9</v>
      </c>
      <c r="B1780" s="23">
        <v>21</v>
      </c>
      <c r="C1780" s="23">
        <v>21</v>
      </c>
      <c r="D1780" s="224"/>
      <c r="E1780" s="224">
        <v>16900</v>
      </c>
      <c r="F1780" s="224"/>
      <c r="G1780" s="224">
        <v>5198</v>
      </c>
      <c r="H1780" s="224"/>
      <c r="I1780" s="224"/>
      <c r="J1780" s="224"/>
      <c r="K1780" s="224"/>
    </row>
    <row r="1781" spans="1:11">
      <c r="A1781" s="23" t="s">
        <v>9</v>
      </c>
      <c r="B1781" s="23">
        <v>21</v>
      </c>
      <c r="C1781" s="23">
        <v>26</v>
      </c>
      <c r="D1781" s="224"/>
      <c r="E1781" s="224"/>
      <c r="F1781" s="224"/>
      <c r="G1781" s="224"/>
      <c r="H1781" s="224"/>
      <c r="I1781" s="224">
        <v>12000</v>
      </c>
      <c r="J1781" s="224"/>
      <c r="K1781" s="224"/>
    </row>
    <row r="1782" spans="1:11">
      <c r="A1782" s="23" t="s">
        <v>9</v>
      </c>
      <c r="B1782" s="23">
        <v>21</v>
      </c>
      <c r="C1782" s="23">
        <v>27</v>
      </c>
      <c r="D1782" s="224"/>
      <c r="E1782" s="224">
        <v>10327</v>
      </c>
      <c r="F1782" s="224">
        <v>23471</v>
      </c>
      <c r="G1782" s="224">
        <v>22245</v>
      </c>
      <c r="H1782" s="224">
        <v>500</v>
      </c>
      <c r="I1782" s="224">
        <v>1250</v>
      </c>
      <c r="J1782" s="224"/>
      <c r="K1782" s="224"/>
    </row>
    <row r="1783" spans="1:11">
      <c r="A1783" s="23" t="s">
        <v>9</v>
      </c>
      <c r="B1783" s="23">
        <v>21</v>
      </c>
      <c r="C1783" s="23">
        <v>31</v>
      </c>
      <c r="D1783" s="224"/>
      <c r="E1783" s="224"/>
      <c r="F1783" s="224"/>
      <c r="G1783" s="224"/>
      <c r="H1783" s="224"/>
      <c r="I1783" s="224"/>
      <c r="J1783" s="224">
        <v>150</v>
      </c>
      <c r="K1783" s="224"/>
    </row>
    <row r="1784" spans="1:11">
      <c r="A1784" s="23" t="s">
        <v>9</v>
      </c>
      <c r="B1784" s="23">
        <v>21</v>
      </c>
      <c r="C1784" s="23">
        <v>33</v>
      </c>
      <c r="D1784" s="224"/>
      <c r="E1784" s="224"/>
      <c r="F1784" s="224"/>
      <c r="G1784" s="224"/>
      <c r="H1784" s="224">
        <v>300</v>
      </c>
      <c r="I1784" s="224"/>
      <c r="J1784" s="224"/>
      <c r="K1784" s="224"/>
    </row>
    <row r="1785" spans="1:11">
      <c r="A1785" s="23" t="s">
        <v>9</v>
      </c>
      <c r="B1785" s="23">
        <v>24</v>
      </c>
      <c r="C1785" s="23">
        <v>26</v>
      </c>
      <c r="D1785" s="224"/>
      <c r="E1785" s="224"/>
      <c r="F1785" s="224"/>
      <c r="G1785" s="224"/>
      <c r="H1785" s="224"/>
      <c r="I1785" s="224">
        <v>17197</v>
      </c>
      <c r="J1785" s="224"/>
      <c r="K1785" s="224"/>
    </row>
    <row r="1786" spans="1:11">
      <c r="A1786" s="23" t="s">
        <v>246</v>
      </c>
      <c r="B1786" s="23">
        <v>21</v>
      </c>
      <c r="C1786" s="23">
        <v>21</v>
      </c>
      <c r="D1786" s="224"/>
      <c r="E1786" s="224">
        <v>555778</v>
      </c>
      <c r="F1786" s="224">
        <v>117959</v>
      </c>
      <c r="G1786" s="224">
        <v>210447</v>
      </c>
      <c r="H1786" s="224">
        <v>1000</v>
      </c>
      <c r="I1786" s="224">
        <v>100</v>
      </c>
      <c r="J1786" s="224">
        <v>7200</v>
      </c>
      <c r="K1786" s="224"/>
    </row>
    <row r="1787" spans="1:11">
      <c r="A1787" s="23" t="s">
        <v>246</v>
      </c>
      <c r="B1787" s="23">
        <v>21</v>
      </c>
      <c r="C1787" s="23">
        <v>24</v>
      </c>
      <c r="D1787" s="224"/>
      <c r="E1787" s="224">
        <v>933921</v>
      </c>
      <c r="F1787" s="224"/>
      <c r="G1787" s="224">
        <v>374610</v>
      </c>
      <c r="H1787" s="224"/>
      <c r="I1787" s="224">
        <v>150</v>
      </c>
      <c r="J1787" s="224"/>
      <c r="K1787" s="224"/>
    </row>
    <row r="1788" spans="1:11">
      <c r="A1788" s="23" t="s">
        <v>246</v>
      </c>
      <c r="B1788" s="23">
        <v>21</v>
      </c>
      <c r="C1788" s="23">
        <v>26</v>
      </c>
      <c r="D1788" s="224"/>
      <c r="E1788" s="224">
        <v>3525784</v>
      </c>
      <c r="F1788" s="224">
        <v>123061</v>
      </c>
      <c r="G1788" s="224">
        <v>1330801</v>
      </c>
      <c r="H1788" s="224">
        <v>23000</v>
      </c>
      <c r="I1788" s="224">
        <v>310195</v>
      </c>
      <c r="J1788" s="224">
        <v>5050</v>
      </c>
      <c r="K1788" s="224"/>
    </row>
    <row r="1789" spans="1:11">
      <c r="A1789" s="23" t="s">
        <v>246</v>
      </c>
      <c r="B1789" s="23">
        <v>21</v>
      </c>
      <c r="C1789" s="23">
        <v>27</v>
      </c>
      <c r="D1789" s="224">
        <v>11500</v>
      </c>
      <c r="E1789" s="224">
        <v>4852203</v>
      </c>
      <c r="F1789" s="224">
        <v>4140325</v>
      </c>
      <c r="G1789" s="224">
        <v>4436444</v>
      </c>
      <c r="H1789" s="224">
        <v>29750</v>
      </c>
      <c r="I1789" s="224">
        <v>185605</v>
      </c>
      <c r="J1789" s="224">
        <v>2400</v>
      </c>
      <c r="K1789" s="224"/>
    </row>
    <row r="1790" spans="1:11">
      <c r="A1790" s="23" t="s">
        <v>246</v>
      </c>
      <c r="B1790" s="23">
        <v>21</v>
      </c>
      <c r="C1790" s="23">
        <v>29</v>
      </c>
      <c r="D1790" s="224"/>
      <c r="E1790" s="224"/>
      <c r="F1790" s="224"/>
      <c r="G1790" s="224"/>
      <c r="H1790" s="224"/>
      <c r="I1790" s="224">
        <v>160000</v>
      </c>
      <c r="J1790" s="224"/>
      <c r="K1790" s="224"/>
    </row>
    <row r="1791" spans="1:11">
      <c r="A1791" s="23" t="s">
        <v>246</v>
      </c>
      <c r="B1791" s="23">
        <v>21</v>
      </c>
      <c r="C1791" s="23">
        <v>31</v>
      </c>
      <c r="D1791" s="224"/>
      <c r="E1791" s="224">
        <v>90350</v>
      </c>
      <c r="F1791" s="224">
        <v>40540</v>
      </c>
      <c r="G1791" s="224">
        <v>41335</v>
      </c>
      <c r="H1791" s="224"/>
      <c r="I1791" s="224"/>
      <c r="J1791" s="224"/>
      <c r="K1791" s="224"/>
    </row>
    <row r="1792" spans="1:11">
      <c r="A1792" s="23" t="s">
        <v>246</v>
      </c>
      <c r="B1792" s="23">
        <v>21</v>
      </c>
      <c r="C1792" s="23">
        <v>32</v>
      </c>
      <c r="D1792" s="224"/>
      <c r="E1792" s="224"/>
      <c r="F1792" s="224"/>
      <c r="G1792" s="224"/>
      <c r="H1792" s="224"/>
      <c r="I1792" s="224">
        <v>15000</v>
      </c>
      <c r="J1792" s="224"/>
      <c r="K1792" s="224"/>
    </row>
    <row r="1793" spans="1:11">
      <c r="A1793" s="23" t="s">
        <v>246</v>
      </c>
      <c r="B1793" s="23">
        <v>21</v>
      </c>
      <c r="C1793" s="23">
        <v>33</v>
      </c>
      <c r="D1793" s="224"/>
      <c r="E1793" s="224"/>
      <c r="F1793" s="224"/>
      <c r="G1793" s="224"/>
      <c r="H1793" s="224">
        <v>20675</v>
      </c>
      <c r="I1793" s="224"/>
      <c r="J1793" s="224"/>
      <c r="K1793" s="224"/>
    </row>
    <row r="1794" spans="1:11">
      <c r="A1794" s="23" t="s">
        <v>246</v>
      </c>
      <c r="B1794" s="23">
        <v>21</v>
      </c>
      <c r="C1794" s="23">
        <v>34</v>
      </c>
      <c r="D1794" s="224"/>
      <c r="E1794" s="224">
        <v>188075</v>
      </c>
      <c r="F1794" s="224"/>
      <c r="G1794" s="224">
        <v>42497</v>
      </c>
      <c r="H1794" s="224"/>
      <c r="I1794" s="224"/>
      <c r="J1794" s="224"/>
      <c r="K1794" s="224"/>
    </row>
    <row r="1795" spans="1:11">
      <c r="A1795" s="23" t="s">
        <v>246</v>
      </c>
      <c r="B1795" s="23">
        <v>23</v>
      </c>
      <c r="C1795" s="23">
        <v>27</v>
      </c>
      <c r="D1795" s="224"/>
      <c r="E1795" s="224">
        <v>99917</v>
      </c>
      <c r="F1795" s="224"/>
      <c r="G1795" s="224">
        <v>38035</v>
      </c>
      <c r="H1795" s="224">
        <v>17844</v>
      </c>
      <c r="I1795" s="224"/>
      <c r="J1795" s="224"/>
      <c r="K1795" s="224"/>
    </row>
    <row r="1796" spans="1:11">
      <c r="A1796" s="23" t="s">
        <v>246</v>
      </c>
      <c r="B1796" s="23">
        <v>24</v>
      </c>
      <c r="C1796" s="23">
        <v>21</v>
      </c>
      <c r="D1796" s="224"/>
      <c r="E1796" s="224">
        <v>50673</v>
      </c>
      <c r="F1796" s="224"/>
      <c r="G1796" s="224">
        <v>15545</v>
      </c>
      <c r="H1796" s="224"/>
      <c r="I1796" s="224"/>
      <c r="J1796" s="224"/>
      <c r="K1796" s="224"/>
    </row>
    <row r="1797" spans="1:11">
      <c r="A1797" s="23" t="s">
        <v>246</v>
      </c>
      <c r="B1797" s="23">
        <v>24</v>
      </c>
      <c r="C1797" s="23">
        <v>27</v>
      </c>
      <c r="D1797" s="224"/>
      <c r="E1797" s="224">
        <v>431163</v>
      </c>
      <c r="F1797" s="224">
        <v>681862</v>
      </c>
      <c r="G1797" s="224">
        <v>586701</v>
      </c>
      <c r="H1797" s="224">
        <v>187</v>
      </c>
      <c r="I1797" s="224"/>
      <c r="J1797" s="224"/>
      <c r="K1797" s="224"/>
    </row>
    <row r="1798" spans="1:11">
      <c r="A1798" s="23" t="s">
        <v>246</v>
      </c>
      <c r="B1798" s="23">
        <v>24</v>
      </c>
      <c r="C1798" s="23">
        <v>31</v>
      </c>
      <c r="D1798" s="224"/>
      <c r="E1798" s="224">
        <v>8491</v>
      </c>
      <c r="F1798" s="224"/>
      <c r="G1798" s="224">
        <v>1914</v>
      </c>
      <c r="H1798" s="224"/>
      <c r="I1798" s="224"/>
      <c r="J1798" s="224"/>
      <c r="K1798" s="224"/>
    </row>
    <row r="1799" spans="1:11">
      <c r="A1799" s="23" t="s">
        <v>248</v>
      </c>
      <c r="B1799" s="23">
        <v>21</v>
      </c>
      <c r="C1799" s="23">
        <v>21</v>
      </c>
      <c r="D1799" s="224"/>
      <c r="E1799" s="224">
        <v>224642</v>
      </c>
      <c r="F1799" s="224">
        <v>164050</v>
      </c>
      <c r="G1799" s="224">
        <v>148899</v>
      </c>
      <c r="H1799" s="224">
        <v>4500</v>
      </c>
      <c r="I1799" s="224">
        <v>1350</v>
      </c>
      <c r="J1799" s="224">
        <v>1620</v>
      </c>
      <c r="K1799" s="224"/>
    </row>
    <row r="1800" spans="1:11">
      <c r="A1800" s="23" t="s">
        <v>248</v>
      </c>
      <c r="B1800" s="23">
        <v>21</v>
      </c>
      <c r="C1800" s="23">
        <v>25</v>
      </c>
      <c r="D1800" s="224"/>
      <c r="E1800" s="224"/>
      <c r="F1800" s="224">
        <v>133540</v>
      </c>
      <c r="G1800" s="224">
        <v>127025</v>
      </c>
      <c r="H1800" s="224"/>
      <c r="I1800" s="224"/>
      <c r="J1800" s="224"/>
      <c r="K1800" s="224"/>
    </row>
    <row r="1801" spans="1:11">
      <c r="A1801" s="23" t="s">
        <v>248</v>
      </c>
      <c r="B1801" s="23">
        <v>21</v>
      </c>
      <c r="C1801" s="23">
        <v>26</v>
      </c>
      <c r="D1801" s="224"/>
      <c r="E1801" s="224">
        <v>1092697</v>
      </c>
      <c r="F1801" s="224">
        <v>506428</v>
      </c>
      <c r="G1801" s="224">
        <v>639264</v>
      </c>
      <c r="H1801" s="224">
        <v>22500</v>
      </c>
      <c r="I1801" s="224">
        <v>200000</v>
      </c>
      <c r="J1801" s="224"/>
      <c r="K1801" s="224"/>
    </row>
    <row r="1802" spans="1:11">
      <c r="A1802" s="23" t="s">
        <v>248</v>
      </c>
      <c r="B1802" s="23">
        <v>21</v>
      </c>
      <c r="C1802" s="23">
        <v>27</v>
      </c>
      <c r="D1802" s="224"/>
      <c r="E1802" s="224">
        <v>4058485</v>
      </c>
      <c r="F1802" s="224">
        <v>1007833</v>
      </c>
      <c r="G1802" s="224">
        <v>1895861</v>
      </c>
      <c r="H1802" s="224">
        <v>135000</v>
      </c>
      <c r="I1802" s="224">
        <v>45000</v>
      </c>
      <c r="J1802" s="224">
        <v>1800</v>
      </c>
      <c r="K1802" s="224"/>
    </row>
    <row r="1803" spans="1:11">
      <c r="A1803" s="23" t="s">
        <v>248</v>
      </c>
      <c r="B1803" s="23">
        <v>21</v>
      </c>
      <c r="C1803" s="23">
        <v>31</v>
      </c>
      <c r="D1803" s="224"/>
      <c r="E1803" s="224">
        <v>209723</v>
      </c>
      <c r="F1803" s="224"/>
      <c r="G1803" s="224">
        <v>47189</v>
      </c>
      <c r="H1803" s="224"/>
      <c r="I1803" s="224">
        <v>7200</v>
      </c>
      <c r="J1803" s="224">
        <v>1800</v>
      </c>
      <c r="K1803" s="224"/>
    </row>
    <row r="1804" spans="1:11">
      <c r="A1804" s="23" t="s">
        <v>248</v>
      </c>
      <c r="B1804" s="23">
        <v>21</v>
      </c>
      <c r="C1804" s="23">
        <v>34</v>
      </c>
      <c r="D1804" s="224"/>
      <c r="E1804" s="224">
        <v>22820</v>
      </c>
      <c r="F1804" s="224"/>
      <c r="G1804" s="224">
        <v>5135</v>
      </c>
      <c r="H1804" s="224"/>
      <c r="I1804" s="224"/>
      <c r="J1804" s="224"/>
      <c r="K1804" s="224"/>
    </row>
    <row r="1805" spans="1:11">
      <c r="A1805" s="23" t="s">
        <v>248</v>
      </c>
      <c r="B1805" s="23">
        <v>24</v>
      </c>
      <c r="C1805" s="23">
        <v>21</v>
      </c>
      <c r="D1805" s="224"/>
      <c r="E1805" s="224"/>
      <c r="F1805" s="224">
        <v>56602</v>
      </c>
      <c r="G1805" s="224">
        <v>23906</v>
      </c>
      <c r="H1805" s="224"/>
      <c r="I1805" s="224"/>
      <c r="J1805" s="224"/>
      <c r="K1805" s="224"/>
    </row>
    <row r="1806" spans="1:11">
      <c r="A1806" s="23" t="s">
        <v>248</v>
      </c>
      <c r="B1806" s="23">
        <v>24</v>
      </c>
      <c r="C1806" s="23">
        <v>27</v>
      </c>
      <c r="D1806" s="224"/>
      <c r="E1806" s="224"/>
      <c r="F1806" s="224">
        <v>854310</v>
      </c>
      <c r="G1806" s="224">
        <v>522441</v>
      </c>
      <c r="H1806" s="224"/>
      <c r="I1806" s="224"/>
      <c r="J1806" s="224"/>
      <c r="K1806" s="224"/>
    </row>
    <row r="1807" spans="1:11">
      <c r="A1807" s="23" t="s">
        <v>250</v>
      </c>
      <c r="B1807" s="23">
        <v>21</v>
      </c>
      <c r="C1807" s="23">
        <v>21</v>
      </c>
      <c r="D1807" s="224"/>
      <c r="E1807" s="224">
        <v>10511</v>
      </c>
      <c r="F1807" s="224"/>
      <c r="G1807" s="224">
        <v>5917</v>
      </c>
      <c r="H1807" s="224"/>
      <c r="I1807" s="224"/>
      <c r="J1807" s="224"/>
      <c r="K1807" s="224"/>
    </row>
    <row r="1808" spans="1:11">
      <c r="A1808" s="23" t="s">
        <v>250</v>
      </c>
      <c r="B1808" s="23">
        <v>21</v>
      </c>
      <c r="C1808" s="23">
        <v>25</v>
      </c>
      <c r="D1808" s="224"/>
      <c r="E1808" s="224"/>
      <c r="F1808" s="224">
        <v>282548</v>
      </c>
      <c r="G1808" s="224">
        <v>157122</v>
      </c>
      <c r="H1808" s="224"/>
      <c r="I1808" s="224"/>
      <c r="J1808" s="224"/>
      <c r="K1808" s="224"/>
    </row>
    <row r="1809" spans="1:11">
      <c r="A1809" s="23" t="s">
        <v>250</v>
      </c>
      <c r="B1809" s="23">
        <v>21</v>
      </c>
      <c r="C1809" s="23">
        <v>26</v>
      </c>
      <c r="D1809" s="224"/>
      <c r="E1809" s="224">
        <v>12819441</v>
      </c>
      <c r="F1809" s="224">
        <v>396155</v>
      </c>
      <c r="G1809" s="224">
        <v>4466328</v>
      </c>
      <c r="H1809" s="224"/>
      <c r="I1809" s="224"/>
      <c r="J1809" s="224"/>
      <c r="K1809" s="224"/>
    </row>
    <row r="1810" spans="1:11">
      <c r="A1810" s="23" t="s">
        <v>250</v>
      </c>
      <c r="B1810" s="23">
        <v>21</v>
      </c>
      <c r="C1810" s="23">
        <v>27</v>
      </c>
      <c r="D1810" s="224"/>
      <c r="E1810" s="224">
        <v>15422828</v>
      </c>
      <c r="F1810" s="224">
        <v>8552731</v>
      </c>
      <c r="G1810" s="224">
        <v>9872531</v>
      </c>
      <c r="H1810" s="224">
        <v>145448</v>
      </c>
      <c r="I1810" s="224">
        <v>2111495</v>
      </c>
      <c r="J1810" s="224"/>
      <c r="K1810" s="224"/>
    </row>
    <row r="1811" spans="1:11">
      <c r="A1811" s="23" t="s">
        <v>250</v>
      </c>
      <c r="B1811" s="23">
        <v>21</v>
      </c>
      <c r="C1811" s="23">
        <v>31</v>
      </c>
      <c r="D1811" s="224"/>
      <c r="E1811" s="224">
        <v>1020</v>
      </c>
      <c r="F1811" s="224">
        <v>224446</v>
      </c>
      <c r="G1811" s="224">
        <v>43753</v>
      </c>
      <c r="H1811" s="224"/>
      <c r="I1811" s="224"/>
      <c r="J1811" s="224"/>
      <c r="K1811" s="224"/>
    </row>
    <row r="1812" spans="1:11">
      <c r="A1812" s="23" t="s">
        <v>250</v>
      </c>
      <c r="B1812" s="23">
        <v>21</v>
      </c>
      <c r="C1812" s="23">
        <v>34</v>
      </c>
      <c r="D1812" s="224"/>
      <c r="E1812" s="224">
        <v>353618</v>
      </c>
      <c r="F1812" s="224"/>
      <c r="G1812" s="224">
        <v>81748</v>
      </c>
      <c r="H1812" s="224"/>
      <c r="I1812" s="224"/>
      <c r="J1812" s="224"/>
      <c r="K1812" s="224"/>
    </row>
    <row r="1813" spans="1:11">
      <c r="A1813" s="23" t="s">
        <v>250</v>
      </c>
      <c r="B1813" s="23">
        <v>23</v>
      </c>
      <c r="C1813" s="23">
        <v>26</v>
      </c>
      <c r="D1813" s="224"/>
      <c r="E1813" s="224">
        <v>162040</v>
      </c>
      <c r="F1813" s="224"/>
      <c r="G1813" s="224">
        <v>61511</v>
      </c>
      <c r="H1813" s="224"/>
      <c r="I1813" s="224"/>
      <c r="J1813" s="224"/>
      <c r="K1813" s="224"/>
    </row>
    <row r="1814" spans="1:11">
      <c r="A1814" s="23" t="s">
        <v>250</v>
      </c>
      <c r="B1814" s="23">
        <v>23</v>
      </c>
      <c r="C1814" s="23">
        <v>27</v>
      </c>
      <c r="D1814" s="224"/>
      <c r="E1814" s="224">
        <v>793416</v>
      </c>
      <c r="F1814" s="224"/>
      <c r="G1814" s="224">
        <v>200120</v>
      </c>
      <c r="H1814" s="224"/>
      <c r="I1814" s="224"/>
      <c r="J1814" s="224"/>
      <c r="K1814" s="224"/>
    </row>
    <row r="1815" spans="1:11">
      <c r="A1815" s="23" t="s">
        <v>250</v>
      </c>
      <c r="B1815" s="23">
        <v>23</v>
      </c>
      <c r="C1815" s="23">
        <v>31</v>
      </c>
      <c r="D1815" s="224"/>
      <c r="E1815" s="224">
        <v>11832</v>
      </c>
      <c r="F1815" s="224"/>
      <c r="G1815" s="224">
        <v>2727</v>
      </c>
      <c r="H1815" s="224"/>
      <c r="I1815" s="224"/>
      <c r="J1815" s="224"/>
      <c r="K1815" s="224"/>
    </row>
    <row r="1816" spans="1:11">
      <c r="A1816" s="23" t="s">
        <v>250</v>
      </c>
      <c r="B1816" s="23">
        <v>24</v>
      </c>
      <c r="C1816" s="23">
        <v>27</v>
      </c>
      <c r="D1816" s="224"/>
      <c r="E1816" s="224">
        <v>4899981</v>
      </c>
      <c r="F1816" s="224">
        <v>762658</v>
      </c>
      <c r="G1816" s="224">
        <v>2161653</v>
      </c>
      <c r="H1816" s="224"/>
      <c r="I1816" s="224">
        <v>69012</v>
      </c>
      <c r="J1816" s="224"/>
      <c r="K1816" s="224"/>
    </row>
    <row r="1817" spans="1:11">
      <c r="A1817" s="23" t="s">
        <v>250</v>
      </c>
      <c r="B1817" s="23">
        <v>24</v>
      </c>
      <c r="C1817" s="23">
        <v>31</v>
      </c>
      <c r="D1817" s="224"/>
      <c r="E1817" s="224">
        <v>61674</v>
      </c>
      <c r="F1817" s="224">
        <v>19960</v>
      </c>
      <c r="G1817" s="224">
        <v>18160</v>
      </c>
      <c r="H1817" s="224"/>
      <c r="I1817" s="224"/>
      <c r="J1817" s="224"/>
      <c r="K1817" s="224"/>
    </row>
    <row r="1818" spans="1:11">
      <c r="A1818" s="23" t="s">
        <v>252</v>
      </c>
      <c r="B1818" s="23">
        <v>21</v>
      </c>
      <c r="C1818" s="23">
        <v>26</v>
      </c>
      <c r="D1818" s="224"/>
      <c r="E1818" s="224"/>
      <c r="F1818" s="224"/>
      <c r="G1818" s="224"/>
      <c r="H1818" s="224"/>
      <c r="I1818" s="224">
        <v>68645</v>
      </c>
      <c r="J1818" s="224"/>
      <c r="K1818" s="224"/>
    </row>
    <row r="1819" spans="1:11">
      <c r="A1819" s="23" t="s">
        <v>252</v>
      </c>
      <c r="B1819" s="23">
        <v>21</v>
      </c>
      <c r="C1819" s="23">
        <v>27</v>
      </c>
      <c r="D1819" s="224"/>
      <c r="E1819" s="224">
        <v>157612</v>
      </c>
      <c r="F1819" s="224"/>
      <c r="G1819" s="224">
        <v>62743</v>
      </c>
      <c r="H1819" s="224">
        <v>2800</v>
      </c>
      <c r="I1819" s="224">
        <v>7400</v>
      </c>
      <c r="J1819" s="224">
        <v>500</v>
      </c>
      <c r="K1819" s="224"/>
    </row>
    <row r="1820" spans="1:11">
      <c r="A1820" s="23" t="s">
        <v>252</v>
      </c>
      <c r="B1820" s="23">
        <v>21</v>
      </c>
      <c r="C1820" s="23">
        <v>31</v>
      </c>
      <c r="D1820" s="224"/>
      <c r="E1820" s="224"/>
      <c r="F1820" s="224"/>
      <c r="G1820" s="224"/>
      <c r="H1820" s="224"/>
      <c r="I1820" s="224">
        <v>300</v>
      </c>
      <c r="J1820" s="224"/>
      <c r="K1820" s="224"/>
    </row>
    <row r="1821" spans="1:11">
      <c r="A1821" s="23" t="s">
        <v>252</v>
      </c>
      <c r="B1821" s="23">
        <v>24</v>
      </c>
      <c r="C1821" s="23">
        <v>26</v>
      </c>
      <c r="D1821" s="224"/>
      <c r="E1821" s="224"/>
      <c r="F1821" s="224"/>
      <c r="G1821" s="224"/>
      <c r="H1821" s="224"/>
      <c r="I1821" s="224">
        <v>44750</v>
      </c>
      <c r="J1821" s="224"/>
      <c r="K1821" s="224"/>
    </row>
    <row r="1822" spans="1:11">
      <c r="A1822" s="23" t="s">
        <v>252</v>
      </c>
      <c r="B1822" s="23">
        <v>29</v>
      </c>
      <c r="C1822" s="23">
        <v>27</v>
      </c>
      <c r="D1822" s="224"/>
      <c r="E1822" s="224"/>
      <c r="F1822" s="224">
        <v>28224</v>
      </c>
      <c r="G1822" s="224">
        <v>21776</v>
      </c>
      <c r="H1822" s="224"/>
      <c r="I1822" s="224"/>
      <c r="J1822" s="224"/>
      <c r="K1822" s="224"/>
    </row>
    <row r="1823" spans="1:11">
      <c r="A1823" s="23" t="s">
        <v>254</v>
      </c>
      <c r="B1823" s="23">
        <v>21</v>
      </c>
      <c r="C1823" s="23">
        <v>21</v>
      </c>
      <c r="D1823" s="224"/>
      <c r="E1823" s="224">
        <v>303447</v>
      </c>
      <c r="F1823" s="224">
        <v>172153</v>
      </c>
      <c r="G1823" s="224">
        <v>168027</v>
      </c>
      <c r="H1823" s="224">
        <v>17000</v>
      </c>
      <c r="I1823" s="224">
        <v>26250</v>
      </c>
      <c r="J1823" s="224">
        <v>8400</v>
      </c>
      <c r="K1823" s="224"/>
    </row>
    <row r="1824" spans="1:11">
      <c r="A1824" s="23" t="s">
        <v>254</v>
      </c>
      <c r="B1824" s="23">
        <v>21</v>
      </c>
      <c r="C1824" s="23">
        <v>26</v>
      </c>
      <c r="D1824" s="224"/>
      <c r="E1824" s="224">
        <v>2541181</v>
      </c>
      <c r="F1824" s="224">
        <v>125868</v>
      </c>
      <c r="G1824" s="224">
        <v>979687</v>
      </c>
      <c r="H1824" s="224">
        <v>17400</v>
      </c>
      <c r="I1824" s="224">
        <v>851372</v>
      </c>
      <c r="J1824" s="224"/>
      <c r="K1824" s="224"/>
    </row>
    <row r="1825" spans="1:11">
      <c r="A1825" s="23" t="s">
        <v>254</v>
      </c>
      <c r="B1825" s="23">
        <v>21</v>
      </c>
      <c r="C1825" s="23">
        <v>27</v>
      </c>
      <c r="D1825" s="224">
        <v>1365</v>
      </c>
      <c r="E1825" s="224">
        <v>5212136</v>
      </c>
      <c r="F1825" s="224">
        <v>5176284</v>
      </c>
      <c r="G1825" s="224">
        <v>4867818</v>
      </c>
      <c r="H1825" s="224">
        <v>76700</v>
      </c>
      <c r="I1825" s="224">
        <v>2015906</v>
      </c>
      <c r="J1825" s="224">
        <v>1150</v>
      </c>
      <c r="K1825" s="224"/>
    </row>
    <row r="1826" spans="1:11">
      <c r="A1826" s="23" t="s">
        <v>254</v>
      </c>
      <c r="B1826" s="23">
        <v>21</v>
      </c>
      <c r="C1826" s="23">
        <v>28</v>
      </c>
      <c r="D1826" s="224"/>
      <c r="E1826" s="224"/>
      <c r="F1826" s="224"/>
      <c r="G1826" s="224"/>
      <c r="H1826" s="224"/>
      <c r="I1826" s="224">
        <v>2500</v>
      </c>
      <c r="J1826" s="224"/>
      <c r="K1826" s="224"/>
    </row>
    <row r="1827" spans="1:11">
      <c r="A1827" s="23" t="s">
        <v>254</v>
      </c>
      <c r="B1827" s="23">
        <v>21</v>
      </c>
      <c r="C1827" s="23">
        <v>29</v>
      </c>
      <c r="D1827" s="224"/>
      <c r="E1827" s="224"/>
      <c r="F1827" s="224"/>
      <c r="G1827" s="224"/>
      <c r="H1827" s="224"/>
      <c r="I1827" s="224">
        <v>45000</v>
      </c>
      <c r="J1827" s="224"/>
      <c r="K1827" s="224"/>
    </row>
    <row r="1828" spans="1:11">
      <c r="A1828" s="23" t="s">
        <v>254</v>
      </c>
      <c r="B1828" s="23">
        <v>21</v>
      </c>
      <c r="C1828" s="23">
        <v>33</v>
      </c>
      <c r="D1828" s="224"/>
      <c r="E1828" s="224">
        <v>40000</v>
      </c>
      <c r="F1828" s="224"/>
      <c r="G1828" s="224">
        <v>9200</v>
      </c>
      <c r="H1828" s="224">
        <v>45750</v>
      </c>
      <c r="I1828" s="224">
        <v>10000</v>
      </c>
      <c r="J1828" s="224"/>
      <c r="K1828" s="224"/>
    </row>
    <row r="1829" spans="1:11">
      <c r="A1829" s="23" t="s">
        <v>254</v>
      </c>
      <c r="B1829" s="23">
        <v>23</v>
      </c>
      <c r="C1829" s="23">
        <v>27</v>
      </c>
      <c r="D1829" s="224"/>
      <c r="E1829" s="224"/>
      <c r="F1829" s="224">
        <v>17399</v>
      </c>
      <c r="G1829" s="224">
        <v>1612</v>
      </c>
      <c r="H1829" s="224"/>
      <c r="I1829" s="224"/>
      <c r="J1829" s="224"/>
      <c r="K1829" s="224"/>
    </row>
    <row r="1830" spans="1:11">
      <c r="A1830" s="23" t="s">
        <v>254</v>
      </c>
      <c r="B1830" s="23">
        <v>24</v>
      </c>
      <c r="C1830" s="23">
        <v>21</v>
      </c>
      <c r="D1830" s="224"/>
      <c r="E1830" s="224"/>
      <c r="F1830" s="224"/>
      <c r="G1830" s="224"/>
      <c r="H1830" s="224"/>
      <c r="I1830" s="224">
        <v>15000</v>
      </c>
      <c r="J1830" s="224"/>
      <c r="K1830" s="224"/>
    </row>
    <row r="1831" spans="1:11">
      <c r="A1831" s="23" t="s">
        <v>254</v>
      </c>
      <c r="B1831" s="23">
        <v>24</v>
      </c>
      <c r="C1831" s="23">
        <v>26</v>
      </c>
      <c r="D1831" s="224"/>
      <c r="E1831" s="224">
        <v>100737</v>
      </c>
      <c r="F1831" s="224"/>
      <c r="G1831" s="224">
        <v>33306</v>
      </c>
      <c r="H1831" s="224"/>
      <c r="I1831" s="224">
        <v>46310</v>
      </c>
      <c r="J1831" s="224"/>
      <c r="K1831" s="224"/>
    </row>
    <row r="1832" spans="1:11">
      <c r="A1832" s="23" t="s">
        <v>254</v>
      </c>
      <c r="B1832" s="23">
        <v>24</v>
      </c>
      <c r="C1832" s="23">
        <v>27</v>
      </c>
      <c r="D1832" s="224"/>
      <c r="E1832" s="224">
        <v>378833</v>
      </c>
      <c r="F1832" s="224">
        <v>124856</v>
      </c>
      <c r="G1832" s="224">
        <v>209112</v>
      </c>
      <c r="H1832" s="224"/>
      <c r="I1832" s="224">
        <v>1600342</v>
      </c>
      <c r="J1832" s="224"/>
      <c r="K1832" s="224"/>
    </row>
    <row r="1833" spans="1:11">
      <c r="A1833" s="23" t="s">
        <v>256</v>
      </c>
      <c r="B1833" s="23">
        <v>21</v>
      </c>
      <c r="C1833" s="23">
        <v>21</v>
      </c>
      <c r="D1833" s="224"/>
      <c r="E1833" s="224">
        <v>5000</v>
      </c>
      <c r="F1833" s="224"/>
      <c r="G1833" s="224">
        <v>2429</v>
      </c>
      <c r="H1833" s="224"/>
      <c r="I1833" s="224"/>
      <c r="J1833" s="224"/>
      <c r="K1833" s="224"/>
    </row>
    <row r="1834" spans="1:11">
      <c r="A1834" s="23" t="s">
        <v>256</v>
      </c>
      <c r="B1834" s="23">
        <v>21</v>
      </c>
      <c r="C1834" s="23">
        <v>26</v>
      </c>
      <c r="D1834" s="224"/>
      <c r="E1834" s="224"/>
      <c r="F1834" s="224"/>
      <c r="G1834" s="224"/>
      <c r="H1834" s="224"/>
      <c r="I1834" s="224">
        <v>40000</v>
      </c>
      <c r="J1834" s="224"/>
      <c r="K1834" s="224"/>
    </row>
    <row r="1835" spans="1:11">
      <c r="A1835" s="23" t="s">
        <v>256</v>
      </c>
      <c r="B1835" s="23">
        <v>21</v>
      </c>
      <c r="C1835" s="23">
        <v>27</v>
      </c>
      <c r="D1835" s="224"/>
      <c r="E1835" s="224">
        <v>91482</v>
      </c>
      <c r="F1835" s="224">
        <v>91081</v>
      </c>
      <c r="G1835" s="224">
        <v>87753</v>
      </c>
      <c r="H1835" s="224">
        <v>600</v>
      </c>
      <c r="I1835" s="224">
        <v>500</v>
      </c>
      <c r="J1835" s="224"/>
      <c r="K1835" s="224"/>
    </row>
    <row r="1836" spans="1:11">
      <c r="A1836" s="23" t="s">
        <v>256</v>
      </c>
      <c r="B1836" s="23">
        <v>21</v>
      </c>
      <c r="C1836" s="23">
        <v>31</v>
      </c>
      <c r="D1836" s="224"/>
      <c r="E1836" s="224"/>
      <c r="F1836" s="224"/>
      <c r="G1836" s="224"/>
      <c r="H1836" s="224"/>
      <c r="I1836" s="224">
        <v>300</v>
      </c>
      <c r="J1836" s="224"/>
      <c r="K1836" s="224"/>
    </row>
    <row r="1837" spans="1:11">
      <c r="A1837" s="23" t="s">
        <v>256</v>
      </c>
      <c r="B1837" s="23">
        <v>24</v>
      </c>
      <c r="C1837" s="23">
        <v>26</v>
      </c>
      <c r="D1837" s="224"/>
      <c r="E1837" s="224"/>
      <c r="F1837" s="224"/>
      <c r="G1837" s="224"/>
      <c r="H1837" s="224"/>
      <c r="I1837" s="224">
        <v>41456</v>
      </c>
      <c r="J1837" s="224"/>
      <c r="K1837" s="224"/>
    </row>
    <row r="1838" spans="1:11">
      <c r="A1838" s="23" t="s">
        <v>258</v>
      </c>
      <c r="B1838" s="23">
        <v>21</v>
      </c>
      <c r="C1838" s="23">
        <v>21</v>
      </c>
      <c r="D1838" s="224"/>
      <c r="E1838" s="224">
        <v>56610</v>
      </c>
      <c r="F1838" s="224">
        <v>33311</v>
      </c>
      <c r="G1838" s="224">
        <v>29779</v>
      </c>
      <c r="H1838" s="224">
        <v>4500</v>
      </c>
      <c r="I1838" s="224">
        <v>1000</v>
      </c>
      <c r="J1838" s="224">
        <v>500</v>
      </c>
      <c r="K1838" s="224"/>
    </row>
    <row r="1839" spans="1:11">
      <c r="A1839" s="23" t="s">
        <v>258</v>
      </c>
      <c r="B1839" s="23">
        <v>21</v>
      </c>
      <c r="C1839" s="23">
        <v>26</v>
      </c>
      <c r="D1839" s="224"/>
      <c r="E1839" s="224">
        <v>57454</v>
      </c>
      <c r="F1839" s="224">
        <v>118659</v>
      </c>
      <c r="G1839" s="224">
        <v>67272</v>
      </c>
      <c r="H1839" s="224"/>
      <c r="I1839" s="224">
        <v>337500</v>
      </c>
      <c r="J1839" s="224"/>
      <c r="K1839" s="224"/>
    </row>
    <row r="1840" spans="1:11">
      <c r="A1840" s="23" t="s">
        <v>258</v>
      </c>
      <c r="B1840" s="23">
        <v>21</v>
      </c>
      <c r="C1840" s="23">
        <v>27</v>
      </c>
      <c r="D1840" s="224"/>
      <c r="E1840" s="224">
        <v>720343</v>
      </c>
      <c r="F1840" s="224">
        <v>352114</v>
      </c>
      <c r="G1840" s="224">
        <v>497241</v>
      </c>
      <c r="H1840" s="224"/>
      <c r="I1840" s="224">
        <v>25000</v>
      </c>
      <c r="J1840" s="224"/>
      <c r="K1840" s="224"/>
    </row>
    <row r="1841" spans="1:11">
      <c r="A1841" s="23" t="s">
        <v>258</v>
      </c>
      <c r="B1841" s="23">
        <v>21</v>
      </c>
      <c r="C1841" s="23">
        <v>31</v>
      </c>
      <c r="D1841" s="224"/>
      <c r="E1841" s="224"/>
      <c r="F1841" s="224"/>
      <c r="G1841" s="224"/>
      <c r="H1841" s="224"/>
      <c r="I1841" s="224">
        <v>5500</v>
      </c>
      <c r="J1841" s="224">
        <v>3500</v>
      </c>
      <c r="K1841" s="224"/>
    </row>
    <row r="1842" spans="1:11">
      <c r="A1842" s="23" t="s">
        <v>258</v>
      </c>
      <c r="B1842" s="23">
        <v>21</v>
      </c>
      <c r="C1842" s="23">
        <v>33</v>
      </c>
      <c r="D1842" s="224"/>
      <c r="E1842" s="224"/>
      <c r="F1842" s="224"/>
      <c r="G1842" s="224"/>
      <c r="H1842" s="224">
        <v>10000</v>
      </c>
      <c r="I1842" s="224">
        <v>10000</v>
      </c>
      <c r="J1842" s="224"/>
      <c r="K1842" s="224"/>
    </row>
    <row r="1843" spans="1:11">
      <c r="A1843" s="23" t="s">
        <v>258</v>
      </c>
      <c r="B1843" s="23">
        <v>21</v>
      </c>
      <c r="C1843" s="23">
        <v>34</v>
      </c>
      <c r="D1843" s="224"/>
      <c r="E1843" s="224">
        <v>11686</v>
      </c>
      <c r="F1843" s="224"/>
      <c r="G1843" s="224">
        <v>2679</v>
      </c>
      <c r="H1843" s="224"/>
      <c r="I1843" s="224"/>
      <c r="J1843" s="224"/>
      <c r="K1843" s="224"/>
    </row>
    <row r="1844" spans="1:11">
      <c r="A1844" s="23" t="s">
        <v>258</v>
      </c>
      <c r="B1844" s="23">
        <v>24</v>
      </c>
      <c r="C1844" s="23">
        <v>21</v>
      </c>
      <c r="D1844" s="224"/>
      <c r="E1844" s="224"/>
      <c r="F1844" s="224"/>
      <c r="G1844" s="224"/>
      <c r="H1844" s="224">
        <v>352</v>
      </c>
      <c r="I1844" s="224"/>
      <c r="J1844" s="224"/>
      <c r="K1844" s="224"/>
    </row>
    <row r="1845" spans="1:11">
      <c r="A1845" s="23" t="s">
        <v>258</v>
      </c>
      <c r="B1845" s="23">
        <v>24</v>
      </c>
      <c r="C1845" s="23">
        <v>26</v>
      </c>
      <c r="D1845" s="224"/>
      <c r="E1845" s="224"/>
      <c r="F1845" s="224"/>
      <c r="G1845" s="224"/>
      <c r="H1845" s="224">
        <v>500</v>
      </c>
      <c r="I1845" s="224">
        <v>500</v>
      </c>
      <c r="J1845" s="224"/>
      <c r="K1845" s="224"/>
    </row>
    <row r="1846" spans="1:11">
      <c r="A1846" s="23" t="s">
        <v>258</v>
      </c>
      <c r="B1846" s="23">
        <v>24</v>
      </c>
      <c r="C1846" s="23">
        <v>27</v>
      </c>
      <c r="D1846" s="224"/>
      <c r="E1846" s="224">
        <v>26658</v>
      </c>
      <c r="F1846" s="224">
        <v>145768</v>
      </c>
      <c r="G1846" s="224">
        <v>102701</v>
      </c>
      <c r="H1846" s="224">
        <v>614</v>
      </c>
      <c r="I1846" s="224"/>
      <c r="J1846" s="224"/>
      <c r="K1846" s="224"/>
    </row>
    <row r="1847" spans="1:11">
      <c r="A1847" s="23" t="s">
        <v>258</v>
      </c>
      <c r="B1847" s="23">
        <v>24</v>
      </c>
      <c r="C1847" s="23">
        <v>31</v>
      </c>
      <c r="D1847" s="224"/>
      <c r="E1847" s="224"/>
      <c r="F1847" s="224"/>
      <c r="G1847" s="224"/>
      <c r="H1847" s="224"/>
      <c r="I1847" s="224"/>
      <c r="J1847" s="224">
        <v>250</v>
      </c>
      <c r="K1847" s="224"/>
    </row>
    <row r="1848" spans="1:11">
      <c r="A1848" s="23" t="s">
        <v>258</v>
      </c>
      <c r="B1848" s="23">
        <v>24</v>
      </c>
      <c r="C1848" s="23">
        <v>33</v>
      </c>
      <c r="D1848" s="224"/>
      <c r="E1848" s="224"/>
      <c r="F1848" s="224"/>
      <c r="G1848" s="224"/>
      <c r="H1848" s="224">
        <v>6978</v>
      </c>
      <c r="I1848" s="224">
        <v>6000</v>
      </c>
      <c r="J1848" s="224"/>
      <c r="K1848" s="224"/>
    </row>
    <row r="1849" spans="1:11">
      <c r="A1849" s="23" t="s">
        <v>260</v>
      </c>
      <c r="B1849" s="23">
        <v>21</v>
      </c>
      <c r="C1849" s="23">
        <v>23</v>
      </c>
      <c r="D1849" s="224"/>
      <c r="E1849" s="224">
        <v>40727</v>
      </c>
      <c r="F1849" s="224"/>
      <c r="G1849" s="224">
        <v>15542</v>
      </c>
      <c r="H1849" s="224"/>
      <c r="I1849" s="224"/>
      <c r="J1849" s="224"/>
      <c r="K1849" s="224"/>
    </row>
    <row r="1850" spans="1:11">
      <c r="A1850" s="23" t="s">
        <v>260</v>
      </c>
      <c r="B1850" s="23">
        <v>21</v>
      </c>
      <c r="C1850" s="23">
        <v>26</v>
      </c>
      <c r="D1850" s="224"/>
      <c r="E1850" s="224"/>
      <c r="F1850" s="224"/>
      <c r="G1850" s="224"/>
      <c r="H1850" s="224">
        <v>2000</v>
      </c>
      <c r="I1850" s="224">
        <v>90000</v>
      </c>
      <c r="J1850" s="224"/>
      <c r="K1850" s="224"/>
    </row>
    <row r="1851" spans="1:11">
      <c r="A1851" s="23" t="s">
        <v>260</v>
      </c>
      <c r="B1851" s="23">
        <v>21</v>
      </c>
      <c r="C1851" s="23">
        <v>27</v>
      </c>
      <c r="D1851" s="224"/>
      <c r="E1851" s="224">
        <v>92783</v>
      </c>
      <c r="F1851" s="224">
        <v>76188</v>
      </c>
      <c r="G1851" s="224">
        <v>78018</v>
      </c>
      <c r="H1851" s="224">
        <v>6250</v>
      </c>
      <c r="I1851" s="224">
        <v>3500</v>
      </c>
      <c r="J1851" s="224">
        <v>2000</v>
      </c>
      <c r="K1851" s="224"/>
    </row>
    <row r="1852" spans="1:11">
      <c r="A1852" s="23" t="s">
        <v>260</v>
      </c>
      <c r="B1852" s="23">
        <v>24</v>
      </c>
      <c r="C1852" s="23">
        <v>27</v>
      </c>
      <c r="D1852" s="224"/>
      <c r="E1852" s="224"/>
      <c r="F1852" s="224">
        <v>43978</v>
      </c>
      <c r="G1852" s="224">
        <v>35694</v>
      </c>
      <c r="H1852" s="224"/>
      <c r="I1852" s="224"/>
      <c r="J1852" s="224"/>
      <c r="K1852" s="224"/>
    </row>
    <row r="1853" spans="1:11">
      <c r="A1853" s="23" t="s">
        <v>262</v>
      </c>
      <c r="B1853" s="23">
        <v>21</v>
      </c>
      <c r="C1853" s="23">
        <v>21</v>
      </c>
      <c r="D1853" s="224"/>
      <c r="E1853" s="224">
        <v>48</v>
      </c>
      <c r="F1853" s="224"/>
      <c r="G1853" s="224">
        <v>11</v>
      </c>
      <c r="H1853" s="224"/>
      <c r="I1853" s="224"/>
      <c r="J1853" s="224"/>
      <c r="K1853" s="224"/>
    </row>
    <row r="1854" spans="1:11">
      <c r="A1854" s="23" t="s">
        <v>262</v>
      </c>
      <c r="B1854" s="23">
        <v>21</v>
      </c>
      <c r="C1854" s="23">
        <v>26</v>
      </c>
      <c r="D1854" s="224"/>
      <c r="E1854" s="224"/>
      <c r="F1854" s="224"/>
      <c r="G1854" s="224"/>
      <c r="H1854" s="224"/>
      <c r="I1854" s="224">
        <v>250000</v>
      </c>
      <c r="J1854" s="224"/>
      <c r="K1854" s="224"/>
    </row>
    <row r="1855" spans="1:11">
      <c r="A1855" s="23" t="s">
        <v>262</v>
      </c>
      <c r="B1855" s="23">
        <v>21</v>
      </c>
      <c r="C1855" s="23">
        <v>27</v>
      </c>
      <c r="D1855" s="224"/>
      <c r="E1855" s="224">
        <v>553576</v>
      </c>
      <c r="F1855" s="224">
        <v>612639</v>
      </c>
      <c r="G1855" s="224">
        <v>606213</v>
      </c>
      <c r="H1855" s="224">
        <v>12494</v>
      </c>
      <c r="I1855" s="224">
        <v>30418</v>
      </c>
      <c r="J1855" s="224"/>
      <c r="K1855" s="224"/>
    </row>
    <row r="1856" spans="1:11">
      <c r="A1856" s="23" t="s">
        <v>262</v>
      </c>
      <c r="B1856" s="23">
        <v>21</v>
      </c>
      <c r="C1856" s="23">
        <v>31</v>
      </c>
      <c r="D1856" s="224"/>
      <c r="E1856" s="224"/>
      <c r="F1856" s="224"/>
      <c r="G1856" s="224"/>
      <c r="H1856" s="224"/>
      <c r="I1856" s="224">
        <v>1050</v>
      </c>
      <c r="J1856" s="224"/>
      <c r="K1856" s="224"/>
    </row>
    <row r="1857" spans="1:11">
      <c r="A1857" s="23" t="s">
        <v>262</v>
      </c>
      <c r="B1857" s="23">
        <v>21</v>
      </c>
      <c r="C1857" s="23">
        <v>32</v>
      </c>
      <c r="D1857" s="224"/>
      <c r="E1857" s="224"/>
      <c r="F1857" s="224"/>
      <c r="G1857" s="224"/>
      <c r="H1857" s="224">
        <v>500</v>
      </c>
      <c r="I1857" s="224"/>
      <c r="J1857" s="224"/>
      <c r="K1857" s="224"/>
    </row>
    <row r="1858" spans="1:11">
      <c r="A1858" s="23" t="s">
        <v>262</v>
      </c>
      <c r="B1858" s="23">
        <v>21</v>
      </c>
      <c r="C1858" s="23">
        <v>33</v>
      </c>
      <c r="D1858" s="224"/>
      <c r="E1858" s="224"/>
      <c r="F1858" s="224"/>
      <c r="G1858" s="224"/>
      <c r="H1858" s="224">
        <v>2000</v>
      </c>
      <c r="I1858" s="224">
        <v>1500</v>
      </c>
      <c r="J1858" s="224"/>
      <c r="K1858" s="224"/>
    </row>
    <row r="1859" spans="1:11">
      <c r="A1859" s="23" t="s">
        <v>262</v>
      </c>
      <c r="B1859" s="23">
        <v>21</v>
      </c>
      <c r="C1859" s="23">
        <v>34</v>
      </c>
      <c r="D1859" s="224"/>
      <c r="E1859" s="224"/>
      <c r="F1859" s="224"/>
      <c r="G1859" s="224"/>
      <c r="H1859" s="224"/>
      <c r="I1859" s="224">
        <v>9082</v>
      </c>
      <c r="J1859" s="224"/>
      <c r="K1859" s="224"/>
    </row>
    <row r="1860" spans="1:11">
      <c r="A1860" s="23" t="s">
        <v>262</v>
      </c>
      <c r="B1860" s="23">
        <v>24</v>
      </c>
      <c r="C1860" s="23">
        <v>26</v>
      </c>
      <c r="D1860" s="224"/>
      <c r="E1860" s="224"/>
      <c r="F1860" s="224"/>
      <c r="G1860" s="224"/>
      <c r="H1860" s="224"/>
      <c r="I1860" s="224">
        <v>260329</v>
      </c>
      <c r="J1860" s="224"/>
      <c r="K1860" s="224"/>
    </row>
    <row r="1861" spans="1:11">
      <c r="A1861" s="23" t="s">
        <v>264</v>
      </c>
      <c r="B1861" s="23">
        <v>21</v>
      </c>
      <c r="C1861" s="23">
        <v>21</v>
      </c>
      <c r="D1861" s="224"/>
      <c r="E1861" s="224">
        <v>67801</v>
      </c>
      <c r="F1861" s="224">
        <v>47694</v>
      </c>
      <c r="G1861" s="224">
        <v>41109</v>
      </c>
      <c r="H1861" s="224">
        <v>3000</v>
      </c>
      <c r="I1861" s="224">
        <v>4000</v>
      </c>
      <c r="J1861" s="224">
        <v>1500</v>
      </c>
      <c r="K1861" s="224"/>
    </row>
    <row r="1862" spans="1:11">
      <c r="A1862" s="23" t="s">
        <v>264</v>
      </c>
      <c r="B1862" s="23">
        <v>21</v>
      </c>
      <c r="C1862" s="23">
        <v>26</v>
      </c>
      <c r="D1862" s="224"/>
      <c r="E1862" s="224"/>
      <c r="F1862" s="224">
        <v>69251</v>
      </c>
      <c r="G1862" s="224">
        <v>19269</v>
      </c>
      <c r="H1862" s="224">
        <v>500</v>
      </c>
      <c r="I1862" s="224">
        <v>500</v>
      </c>
      <c r="J1862" s="224">
        <v>100</v>
      </c>
      <c r="K1862" s="224"/>
    </row>
    <row r="1863" spans="1:11">
      <c r="A1863" s="23" t="s">
        <v>264</v>
      </c>
      <c r="B1863" s="23">
        <v>21</v>
      </c>
      <c r="C1863" s="23">
        <v>27</v>
      </c>
      <c r="D1863" s="224"/>
      <c r="E1863" s="224">
        <v>223399</v>
      </c>
      <c r="F1863" s="224">
        <v>288597</v>
      </c>
      <c r="G1863" s="224">
        <v>297600</v>
      </c>
      <c r="H1863" s="224">
        <v>30743</v>
      </c>
      <c r="I1863" s="224">
        <v>164775</v>
      </c>
      <c r="J1863" s="224">
        <v>1000</v>
      </c>
      <c r="K1863" s="224"/>
    </row>
    <row r="1864" spans="1:11">
      <c r="A1864" s="23" t="s">
        <v>264</v>
      </c>
      <c r="B1864" s="23">
        <v>21</v>
      </c>
      <c r="C1864" s="23">
        <v>31</v>
      </c>
      <c r="D1864" s="224"/>
      <c r="E1864" s="224"/>
      <c r="F1864" s="224"/>
      <c r="G1864" s="224"/>
      <c r="H1864" s="224"/>
      <c r="I1864" s="224">
        <v>19437</v>
      </c>
      <c r="J1864" s="224">
        <v>3500</v>
      </c>
      <c r="K1864" s="224"/>
    </row>
    <row r="1865" spans="1:11">
      <c r="A1865" s="23" t="s">
        <v>264</v>
      </c>
      <c r="B1865" s="23">
        <v>21</v>
      </c>
      <c r="C1865" s="23">
        <v>32</v>
      </c>
      <c r="D1865" s="224"/>
      <c r="E1865" s="224"/>
      <c r="F1865" s="224"/>
      <c r="G1865" s="224"/>
      <c r="H1865" s="224">
        <v>17500</v>
      </c>
      <c r="I1865" s="224">
        <v>2400</v>
      </c>
      <c r="J1865" s="224"/>
      <c r="K1865" s="224"/>
    </row>
    <row r="1866" spans="1:11">
      <c r="A1866" s="23" t="s">
        <v>264</v>
      </c>
      <c r="B1866" s="23">
        <v>21</v>
      </c>
      <c r="C1866" s="23">
        <v>34</v>
      </c>
      <c r="D1866" s="224"/>
      <c r="E1866" s="224">
        <v>3360</v>
      </c>
      <c r="F1866" s="224"/>
      <c r="G1866" s="224">
        <v>688</v>
      </c>
      <c r="H1866" s="224"/>
      <c r="I1866" s="224"/>
      <c r="J1866" s="224"/>
      <c r="K1866" s="224"/>
    </row>
    <row r="1867" spans="1:11">
      <c r="A1867" s="23" t="s">
        <v>264</v>
      </c>
      <c r="B1867" s="23">
        <v>23</v>
      </c>
      <c r="C1867" s="23">
        <v>27</v>
      </c>
      <c r="D1867" s="224"/>
      <c r="E1867" s="224">
        <v>34559</v>
      </c>
      <c r="F1867" s="224"/>
      <c r="G1867" s="224">
        <v>18872</v>
      </c>
      <c r="H1867" s="224">
        <v>1478</v>
      </c>
      <c r="I1867" s="224"/>
      <c r="J1867" s="224"/>
      <c r="K1867" s="224"/>
    </row>
    <row r="1868" spans="1:11">
      <c r="A1868" s="23" t="s">
        <v>264</v>
      </c>
      <c r="B1868" s="23">
        <v>23</v>
      </c>
      <c r="C1868" s="23">
        <v>31</v>
      </c>
      <c r="D1868" s="224"/>
      <c r="E1868" s="224">
        <v>563</v>
      </c>
      <c r="F1868" s="224"/>
      <c r="G1868" s="224">
        <v>137</v>
      </c>
      <c r="H1868" s="224"/>
      <c r="I1868" s="224"/>
      <c r="J1868" s="224"/>
      <c r="K1868" s="224"/>
    </row>
    <row r="1869" spans="1:11">
      <c r="A1869" s="23" t="s">
        <v>264</v>
      </c>
      <c r="B1869" s="23">
        <v>24</v>
      </c>
      <c r="C1869" s="23">
        <v>27</v>
      </c>
      <c r="D1869" s="224"/>
      <c r="E1869" s="224">
        <v>153661</v>
      </c>
      <c r="F1869" s="224">
        <v>9735</v>
      </c>
      <c r="G1869" s="224">
        <v>71111</v>
      </c>
      <c r="H1869" s="224">
        <v>1847</v>
      </c>
      <c r="I1869" s="224"/>
      <c r="J1869" s="224"/>
      <c r="K1869" s="224"/>
    </row>
    <row r="1870" spans="1:11">
      <c r="A1870" s="23" t="s">
        <v>264</v>
      </c>
      <c r="B1870" s="23">
        <v>24</v>
      </c>
      <c r="C1870" s="23">
        <v>31</v>
      </c>
      <c r="D1870" s="224"/>
      <c r="E1870" s="224">
        <v>2395</v>
      </c>
      <c r="F1870" s="224"/>
      <c r="G1870" s="224">
        <v>593</v>
      </c>
      <c r="H1870" s="224"/>
      <c r="I1870" s="224"/>
      <c r="J1870" s="224"/>
      <c r="K1870" s="224"/>
    </row>
    <row r="1871" spans="1:11">
      <c r="A1871" s="23" t="s">
        <v>266</v>
      </c>
      <c r="B1871" s="23">
        <v>21</v>
      </c>
      <c r="C1871" s="23">
        <v>21</v>
      </c>
      <c r="D1871" s="224"/>
      <c r="E1871" s="224">
        <v>328642</v>
      </c>
      <c r="F1871" s="224">
        <v>156193</v>
      </c>
      <c r="G1871" s="224">
        <v>159204</v>
      </c>
      <c r="H1871" s="224">
        <v>10000</v>
      </c>
      <c r="I1871" s="224"/>
      <c r="J1871" s="224"/>
      <c r="K1871" s="224"/>
    </row>
    <row r="1872" spans="1:11">
      <c r="A1872" s="23" t="s">
        <v>266</v>
      </c>
      <c r="B1872" s="23">
        <v>21</v>
      </c>
      <c r="C1872" s="23">
        <v>26</v>
      </c>
      <c r="D1872" s="224"/>
      <c r="E1872" s="224">
        <v>673683</v>
      </c>
      <c r="F1872" s="224">
        <v>31812</v>
      </c>
      <c r="G1872" s="224">
        <v>270440</v>
      </c>
      <c r="H1872" s="224">
        <v>11000</v>
      </c>
      <c r="I1872" s="224">
        <v>226310</v>
      </c>
      <c r="J1872" s="224"/>
      <c r="K1872" s="224"/>
    </row>
    <row r="1873" spans="1:11">
      <c r="A1873" s="23" t="s">
        <v>266</v>
      </c>
      <c r="B1873" s="23">
        <v>21</v>
      </c>
      <c r="C1873" s="23">
        <v>27</v>
      </c>
      <c r="D1873" s="224">
        <v>7000</v>
      </c>
      <c r="E1873" s="224">
        <v>1512408</v>
      </c>
      <c r="F1873" s="224">
        <v>519212</v>
      </c>
      <c r="G1873" s="224">
        <v>740810</v>
      </c>
      <c r="H1873" s="224">
        <v>21500</v>
      </c>
      <c r="I1873" s="224">
        <v>72200</v>
      </c>
      <c r="J1873" s="224"/>
      <c r="K1873" s="224"/>
    </row>
    <row r="1874" spans="1:11">
      <c r="A1874" s="23" t="s">
        <v>266</v>
      </c>
      <c r="B1874" s="23">
        <v>21</v>
      </c>
      <c r="C1874" s="23">
        <v>31</v>
      </c>
      <c r="D1874" s="224"/>
      <c r="E1874" s="224"/>
      <c r="F1874" s="224"/>
      <c r="G1874" s="224"/>
      <c r="H1874" s="224"/>
      <c r="I1874" s="224">
        <v>8000</v>
      </c>
      <c r="J1874" s="224"/>
      <c r="K1874" s="224"/>
    </row>
    <row r="1875" spans="1:11">
      <c r="A1875" s="23" t="s">
        <v>266</v>
      </c>
      <c r="B1875" s="23">
        <v>24</v>
      </c>
      <c r="C1875" s="23">
        <v>27</v>
      </c>
      <c r="D1875" s="224"/>
      <c r="E1875" s="224"/>
      <c r="F1875" s="224">
        <v>702628</v>
      </c>
      <c r="G1875" s="224">
        <v>429965</v>
      </c>
      <c r="H1875" s="224">
        <v>78899</v>
      </c>
      <c r="I1875" s="224"/>
      <c r="J1875" s="224"/>
      <c r="K1875" s="224"/>
    </row>
    <row r="1876" spans="1:11">
      <c r="A1876" s="23" t="s">
        <v>266</v>
      </c>
      <c r="B1876" s="23">
        <v>29</v>
      </c>
      <c r="C1876" s="23">
        <v>25</v>
      </c>
      <c r="D1876" s="224"/>
      <c r="E1876" s="224"/>
      <c r="F1876" s="224">
        <v>43000</v>
      </c>
      <c r="G1876" s="224"/>
      <c r="H1876" s="224"/>
      <c r="I1876" s="224"/>
      <c r="J1876" s="224"/>
      <c r="K1876" s="224"/>
    </row>
    <row r="1877" spans="1:11">
      <c r="A1877" s="23" t="s">
        <v>266</v>
      </c>
      <c r="B1877" s="23">
        <v>29</v>
      </c>
      <c r="C1877" s="23">
        <v>27</v>
      </c>
      <c r="D1877" s="224"/>
      <c r="E1877" s="224"/>
      <c r="F1877" s="224"/>
      <c r="G1877" s="224"/>
      <c r="H1877" s="224">
        <v>70153</v>
      </c>
      <c r="I1877" s="224"/>
      <c r="J1877" s="224"/>
      <c r="K1877" s="224"/>
    </row>
    <row r="1878" spans="1:11">
      <c r="A1878" s="23" t="s">
        <v>268</v>
      </c>
      <c r="B1878" s="23">
        <v>21</v>
      </c>
      <c r="C1878" s="23">
        <v>21</v>
      </c>
      <c r="D1878" s="224"/>
      <c r="E1878" s="224">
        <v>28662</v>
      </c>
      <c r="F1878" s="224"/>
      <c r="G1878" s="224">
        <v>9545</v>
      </c>
      <c r="H1878" s="224"/>
      <c r="I1878" s="224"/>
      <c r="J1878" s="224"/>
      <c r="K1878" s="224"/>
    </row>
    <row r="1879" spans="1:11">
      <c r="A1879" s="23" t="s">
        <v>268</v>
      </c>
      <c r="B1879" s="23">
        <v>21</v>
      </c>
      <c r="C1879" s="23">
        <v>27</v>
      </c>
      <c r="D1879" s="224"/>
      <c r="E1879" s="224">
        <v>113583</v>
      </c>
      <c r="F1879" s="224">
        <v>67336</v>
      </c>
      <c r="G1879" s="224">
        <v>93222</v>
      </c>
      <c r="H1879" s="224">
        <v>3000</v>
      </c>
      <c r="I1879" s="224">
        <v>41000</v>
      </c>
      <c r="J1879" s="224"/>
      <c r="K1879" s="224"/>
    </row>
    <row r="1880" spans="1:11">
      <c r="A1880" s="23" t="s">
        <v>268</v>
      </c>
      <c r="B1880" s="23">
        <v>24</v>
      </c>
      <c r="C1880" s="23">
        <v>26</v>
      </c>
      <c r="D1880" s="224"/>
      <c r="E1880" s="224"/>
      <c r="F1880" s="224"/>
      <c r="G1880" s="224"/>
      <c r="H1880" s="224"/>
      <c r="I1880" s="224">
        <v>37000</v>
      </c>
      <c r="J1880" s="224"/>
      <c r="K1880" s="224"/>
    </row>
    <row r="1881" spans="1:11">
      <c r="A1881" s="23" t="s">
        <v>185</v>
      </c>
      <c r="B1881" s="23">
        <v>21</v>
      </c>
      <c r="C1881" s="23">
        <v>29</v>
      </c>
      <c r="D1881" s="224"/>
      <c r="E1881" s="224"/>
      <c r="F1881" s="224"/>
      <c r="G1881" s="224"/>
      <c r="H1881" s="224"/>
      <c r="I1881" s="224">
        <v>1025573</v>
      </c>
      <c r="J1881" s="224"/>
      <c r="K1881" s="224"/>
    </row>
    <row r="1882" spans="1:11">
      <c r="A1882" s="23" t="s">
        <v>187</v>
      </c>
      <c r="B1882" s="23">
        <v>21</v>
      </c>
      <c r="C1882" s="23">
        <v>29</v>
      </c>
      <c r="D1882" s="224"/>
      <c r="E1882" s="224"/>
      <c r="F1882" s="224"/>
      <c r="G1882" s="224"/>
      <c r="H1882" s="224"/>
      <c r="I1882" s="224">
        <v>217751</v>
      </c>
      <c r="J1882" s="224"/>
      <c r="K1882" s="224"/>
    </row>
    <row r="1883" spans="1:11">
      <c r="A1883" s="23" t="s">
        <v>566</v>
      </c>
      <c r="B1883" s="23">
        <v>21</v>
      </c>
      <c r="C1883" s="23">
        <v>21</v>
      </c>
      <c r="D1883" s="224"/>
      <c r="E1883" s="224">
        <v>137541</v>
      </c>
      <c r="F1883" s="224">
        <v>80196</v>
      </c>
      <c r="G1883" s="224">
        <v>69824</v>
      </c>
      <c r="H1883" s="224"/>
      <c r="I1883" s="224"/>
      <c r="J1883" s="224"/>
      <c r="K1883" s="224"/>
    </row>
    <row r="1884" spans="1:11">
      <c r="A1884" s="23" t="s">
        <v>566</v>
      </c>
      <c r="B1884" s="23">
        <v>21</v>
      </c>
      <c r="C1884" s="23">
        <v>26</v>
      </c>
      <c r="D1884" s="224"/>
      <c r="E1884" s="224">
        <v>1095384</v>
      </c>
      <c r="F1884" s="224"/>
      <c r="G1884" s="224">
        <v>375074</v>
      </c>
      <c r="H1884" s="224">
        <v>12000</v>
      </c>
      <c r="I1884" s="224">
        <v>525000</v>
      </c>
      <c r="J1884" s="224"/>
      <c r="K1884" s="224"/>
    </row>
    <row r="1885" spans="1:11">
      <c r="A1885" s="23" t="s">
        <v>566</v>
      </c>
      <c r="B1885" s="23">
        <v>21</v>
      </c>
      <c r="C1885" s="23">
        <v>27</v>
      </c>
      <c r="D1885" s="224"/>
      <c r="E1885" s="224">
        <v>1454749</v>
      </c>
      <c r="F1885" s="224">
        <v>1114442</v>
      </c>
      <c r="G1885" s="224">
        <v>1067992</v>
      </c>
      <c r="H1885" s="224">
        <v>4500</v>
      </c>
      <c r="I1885" s="224">
        <v>390000</v>
      </c>
      <c r="J1885" s="224"/>
      <c r="K1885" s="224"/>
    </row>
    <row r="1886" spans="1:11">
      <c r="A1886" s="23" t="s">
        <v>566</v>
      </c>
      <c r="B1886" s="23">
        <v>21</v>
      </c>
      <c r="C1886" s="23">
        <v>31</v>
      </c>
      <c r="D1886" s="224"/>
      <c r="E1886" s="224"/>
      <c r="F1886" s="224"/>
      <c r="G1886" s="224"/>
      <c r="H1886" s="224"/>
      <c r="I1886" s="224">
        <v>2600</v>
      </c>
      <c r="J1886" s="224"/>
      <c r="K1886" s="224"/>
    </row>
    <row r="1887" spans="1:11">
      <c r="A1887" s="23" t="s">
        <v>566</v>
      </c>
      <c r="B1887" s="23">
        <v>24</v>
      </c>
      <c r="C1887" s="23">
        <v>26</v>
      </c>
      <c r="D1887" s="224"/>
      <c r="E1887" s="224"/>
      <c r="F1887" s="224"/>
      <c r="G1887" s="224"/>
      <c r="H1887" s="224"/>
      <c r="I1887" s="224">
        <v>380000</v>
      </c>
      <c r="J1887" s="224"/>
      <c r="K1887" s="224"/>
    </row>
    <row r="1888" spans="1:11">
      <c r="A1888" s="23" t="s">
        <v>566</v>
      </c>
      <c r="B1888" s="23">
        <v>24</v>
      </c>
      <c r="C1888" s="23">
        <v>27</v>
      </c>
      <c r="D1888" s="224"/>
      <c r="E1888" s="224"/>
      <c r="F1888" s="224">
        <v>23685</v>
      </c>
      <c r="G1888" s="224">
        <v>11082</v>
      </c>
      <c r="H1888" s="224"/>
      <c r="I1888" s="224">
        <v>395000</v>
      </c>
      <c r="J1888" s="224"/>
      <c r="K1888" s="224"/>
    </row>
    <row r="1889" spans="1:11">
      <c r="A1889" s="23" t="s">
        <v>189</v>
      </c>
      <c r="B1889" s="23">
        <v>21</v>
      </c>
      <c r="C1889" s="23">
        <v>21</v>
      </c>
      <c r="D1889" s="224"/>
      <c r="E1889" s="224">
        <v>163204</v>
      </c>
      <c r="F1889" s="224">
        <v>290283</v>
      </c>
      <c r="G1889" s="224">
        <v>168743</v>
      </c>
      <c r="H1889" s="224">
        <v>17800</v>
      </c>
      <c r="I1889" s="224">
        <v>330262</v>
      </c>
      <c r="J1889" s="224">
        <v>500</v>
      </c>
      <c r="K1889" s="224"/>
    </row>
    <row r="1890" spans="1:11">
      <c r="A1890" s="23" t="s">
        <v>189</v>
      </c>
      <c r="B1890" s="23">
        <v>21</v>
      </c>
      <c r="C1890" s="23">
        <v>25</v>
      </c>
      <c r="D1890" s="224"/>
      <c r="E1890" s="224"/>
      <c r="F1890" s="224">
        <v>64721</v>
      </c>
      <c r="G1890" s="224">
        <v>38050</v>
      </c>
      <c r="H1890" s="224"/>
      <c r="I1890" s="224"/>
      <c r="J1890" s="224"/>
      <c r="K1890" s="224"/>
    </row>
    <row r="1891" spans="1:11">
      <c r="A1891" s="23" t="s">
        <v>189</v>
      </c>
      <c r="B1891" s="23">
        <v>21</v>
      </c>
      <c r="C1891" s="23">
        <v>26</v>
      </c>
      <c r="D1891" s="224"/>
      <c r="E1891" s="224">
        <v>1447906</v>
      </c>
      <c r="F1891" s="224">
        <v>10000</v>
      </c>
      <c r="G1891" s="224">
        <v>511599</v>
      </c>
      <c r="H1891" s="224">
        <v>32500</v>
      </c>
      <c r="I1891" s="224">
        <v>530485</v>
      </c>
      <c r="J1891" s="224">
        <v>1400</v>
      </c>
      <c r="K1891" s="224"/>
    </row>
    <row r="1892" spans="1:11">
      <c r="A1892" s="23" t="s">
        <v>189</v>
      </c>
      <c r="B1892" s="23">
        <v>21</v>
      </c>
      <c r="C1892" s="23">
        <v>27</v>
      </c>
      <c r="D1892" s="224"/>
      <c r="E1892" s="224">
        <v>4043584</v>
      </c>
      <c r="F1892" s="224">
        <v>1997502</v>
      </c>
      <c r="G1892" s="224">
        <v>2577670</v>
      </c>
      <c r="H1892" s="224">
        <v>89025</v>
      </c>
      <c r="I1892" s="224">
        <v>2996</v>
      </c>
      <c r="J1892" s="224"/>
      <c r="K1892" s="224"/>
    </row>
    <row r="1893" spans="1:11">
      <c r="A1893" s="23" t="s">
        <v>189</v>
      </c>
      <c r="B1893" s="23">
        <v>24</v>
      </c>
      <c r="C1893" s="23">
        <v>26</v>
      </c>
      <c r="D1893" s="224"/>
      <c r="E1893" s="224">
        <v>417582</v>
      </c>
      <c r="F1893" s="224"/>
      <c r="G1893" s="224">
        <v>157356</v>
      </c>
      <c r="H1893" s="224"/>
      <c r="I1893" s="224">
        <v>456164</v>
      </c>
      <c r="J1893" s="224"/>
      <c r="K1893" s="224"/>
    </row>
    <row r="1894" spans="1:11">
      <c r="A1894" s="23" t="s">
        <v>189</v>
      </c>
      <c r="B1894" s="23">
        <v>24</v>
      </c>
      <c r="C1894" s="23">
        <v>27</v>
      </c>
      <c r="D1894" s="224"/>
      <c r="E1894" s="224">
        <v>200129</v>
      </c>
      <c r="F1894" s="224">
        <v>18262</v>
      </c>
      <c r="G1894" s="224">
        <v>72061</v>
      </c>
      <c r="H1894" s="224"/>
      <c r="I1894" s="224"/>
      <c r="J1894" s="224"/>
      <c r="K1894" s="224"/>
    </row>
    <row r="1895" spans="1:11">
      <c r="A1895" s="23" t="s">
        <v>191</v>
      </c>
      <c r="B1895" s="23">
        <v>21</v>
      </c>
      <c r="C1895" s="23">
        <v>21</v>
      </c>
      <c r="D1895" s="224"/>
      <c r="E1895" s="224">
        <v>12500</v>
      </c>
      <c r="F1895" s="224"/>
      <c r="G1895" s="224">
        <v>2813</v>
      </c>
      <c r="H1895" s="224">
        <v>250</v>
      </c>
      <c r="I1895" s="224">
        <v>500</v>
      </c>
      <c r="J1895" s="224">
        <v>100</v>
      </c>
      <c r="K1895" s="224"/>
    </row>
    <row r="1896" spans="1:11">
      <c r="A1896" s="23" t="s">
        <v>191</v>
      </c>
      <c r="B1896" s="23">
        <v>21</v>
      </c>
      <c r="C1896" s="23">
        <v>24</v>
      </c>
      <c r="D1896" s="224"/>
      <c r="E1896" s="224"/>
      <c r="F1896" s="224"/>
      <c r="G1896" s="224"/>
      <c r="H1896" s="224">
        <v>3000</v>
      </c>
      <c r="I1896" s="224"/>
      <c r="J1896" s="224"/>
      <c r="K1896" s="224"/>
    </row>
    <row r="1897" spans="1:11">
      <c r="A1897" s="23" t="s">
        <v>191</v>
      </c>
      <c r="B1897" s="23">
        <v>21</v>
      </c>
      <c r="C1897" s="23">
        <v>25</v>
      </c>
      <c r="D1897" s="224"/>
      <c r="E1897" s="224"/>
      <c r="F1897" s="224"/>
      <c r="G1897" s="224"/>
      <c r="H1897" s="224">
        <v>50</v>
      </c>
      <c r="I1897" s="224"/>
      <c r="J1897" s="224"/>
      <c r="K1897" s="224"/>
    </row>
    <row r="1898" spans="1:11">
      <c r="A1898" s="23" t="s">
        <v>191</v>
      </c>
      <c r="B1898" s="23">
        <v>21</v>
      </c>
      <c r="C1898" s="23">
        <v>26</v>
      </c>
      <c r="D1898" s="224"/>
      <c r="E1898" s="224"/>
      <c r="F1898" s="224">
        <v>66438</v>
      </c>
      <c r="G1898" s="224">
        <v>29917</v>
      </c>
      <c r="H1898" s="224">
        <v>2700</v>
      </c>
      <c r="I1898" s="224">
        <v>29831</v>
      </c>
      <c r="J1898" s="224">
        <v>600</v>
      </c>
      <c r="K1898" s="224"/>
    </row>
    <row r="1899" spans="1:11">
      <c r="A1899" s="23" t="s">
        <v>191</v>
      </c>
      <c r="B1899" s="23">
        <v>21</v>
      </c>
      <c r="C1899" s="23">
        <v>27</v>
      </c>
      <c r="D1899" s="224"/>
      <c r="E1899" s="224">
        <v>274715</v>
      </c>
      <c r="F1899" s="224">
        <v>32314</v>
      </c>
      <c r="G1899" s="224">
        <v>113759</v>
      </c>
      <c r="H1899" s="224">
        <v>15000</v>
      </c>
      <c r="I1899" s="224">
        <v>6000</v>
      </c>
      <c r="J1899" s="224">
        <v>200</v>
      </c>
      <c r="K1899" s="224"/>
    </row>
    <row r="1900" spans="1:11">
      <c r="A1900" s="23" t="s">
        <v>191</v>
      </c>
      <c r="B1900" s="23">
        <v>21</v>
      </c>
      <c r="C1900" s="23">
        <v>31</v>
      </c>
      <c r="D1900" s="224"/>
      <c r="E1900" s="224">
        <v>3544</v>
      </c>
      <c r="F1900" s="224"/>
      <c r="G1900" s="224">
        <v>5444</v>
      </c>
      <c r="H1900" s="224"/>
      <c r="I1900" s="224">
        <v>2500</v>
      </c>
      <c r="J1900" s="224">
        <v>6825</v>
      </c>
      <c r="K1900" s="224"/>
    </row>
    <row r="1901" spans="1:11">
      <c r="A1901" s="23" t="s">
        <v>191</v>
      </c>
      <c r="B1901" s="23">
        <v>21</v>
      </c>
      <c r="C1901" s="23">
        <v>32</v>
      </c>
      <c r="D1901" s="224"/>
      <c r="E1901" s="224"/>
      <c r="F1901" s="224"/>
      <c r="G1901" s="224"/>
      <c r="H1901" s="224">
        <v>12000</v>
      </c>
      <c r="I1901" s="224"/>
      <c r="J1901" s="224"/>
      <c r="K1901" s="224"/>
    </row>
    <row r="1902" spans="1:11">
      <c r="A1902" s="23" t="s">
        <v>191</v>
      </c>
      <c r="B1902" s="23">
        <v>21</v>
      </c>
      <c r="C1902" s="23">
        <v>34</v>
      </c>
      <c r="D1902" s="224"/>
      <c r="E1902" s="224">
        <v>5315</v>
      </c>
      <c r="F1902" s="224"/>
      <c r="G1902" s="224">
        <v>8166</v>
      </c>
      <c r="H1902" s="224"/>
      <c r="I1902" s="224"/>
      <c r="J1902" s="224"/>
      <c r="K1902" s="224"/>
    </row>
    <row r="1903" spans="1:11">
      <c r="A1903" s="23" t="s">
        <v>191</v>
      </c>
      <c r="B1903" s="23">
        <v>24</v>
      </c>
      <c r="C1903" s="23">
        <v>26</v>
      </c>
      <c r="D1903" s="224"/>
      <c r="E1903" s="224">
        <v>50229</v>
      </c>
      <c r="F1903" s="224">
        <v>8326</v>
      </c>
      <c r="G1903" s="224">
        <v>21503</v>
      </c>
      <c r="H1903" s="224"/>
      <c r="I1903" s="224"/>
      <c r="J1903" s="224"/>
      <c r="K1903" s="224"/>
    </row>
    <row r="1904" spans="1:11">
      <c r="A1904" s="23" t="s">
        <v>191</v>
      </c>
      <c r="B1904" s="23">
        <v>24</v>
      </c>
      <c r="C1904" s="23">
        <v>27</v>
      </c>
      <c r="D1904" s="224"/>
      <c r="E1904" s="224">
        <v>8966</v>
      </c>
      <c r="F1904" s="224">
        <v>178591</v>
      </c>
      <c r="G1904" s="224">
        <v>121311</v>
      </c>
      <c r="H1904" s="224"/>
      <c r="I1904" s="224"/>
      <c r="J1904" s="224"/>
      <c r="K1904" s="224"/>
    </row>
    <row r="1905" spans="1:11">
      <c r="A1905" s="23" t="s">
        <v>193</v>
      </c>
      <c r="B1905" s="23">
        <v>21</v>
      </c>
      <c r="C1905" s="23">
        <v>21</v>
      </c>
      <c r="D1905" s="224"/>
      <c r="E1905" s="224">
        <v>418380</v>
      </c>
      <c r="F1905" s="224">
        <v>154817</v>
      </c>
      <c r="G1905" s="224">
        <v>199495</v>
      </c>
      <c r="H1905" s="224">
        <v>5000</v>
      </c>
      <c r="I1905" s="224">
        <v>30000</v>
      </c>
      <c r="J1905" s="224"/>
      <c r="K1905" s="224"/>
    </row>
    <row r="1906" spans="1:11">
      <c r="A1906" s="23" t="s">
        <v>193</v>
      </c>
      <c r="B1906" s="23">
        <v>21</v>
      </c>
      <c r="C1906" s="23">
        <v>24</v>
      </c>
      <c r="D1906" s="224"/>
      <c r="E1906" s="224"/>
      <c r="F1906" s="224"/>
      <c r="G1906" s="224"/>
      <c r="H1906" s="224">
        <v>20000</v>
      </c>
      <c r="I1906" s="224"/>
      <c r="J1906" s="224"/>
      <c r="K1906" s="224"/>
    </row>
    <row r="1907" spans="1:11">
      <c r="A1907" s="23" t="s">
        <v>193</v>
      </c>
      <c r="B1907" s="23">
        <v>21</v>
      </c>
      <c r="C1907" s="23">
        <v>26</v>
      </c>
      <c r="D1907" s="224"/>
      <c r="E1907" s="224">
        <v>1414783</v>
      </c>
      <c r="F1907" s="224">
        <v>258849</v>
      </c>
      <c r="G1907" s="224">
        <v>630044</v>
      </c>
      <c r="H1907" s="224">
        <v>8000</v>
      </c>
      <c r="I1907" s="224">
        <v>184000</v>
      </c>
      <c r="J1907" s="224"/>
      <c r="K1907" s="224"/>
    </row>
    <row r="1908" spans="1:11">
      <c r="A1908" s="23" t="s">
        <v>193</v>
      </c>
      <c r="B1908" s="23">
        <v>21</v>
      </c>
      <c r="C1908" s="23">
        <v>27</v>
      </c>
      <c r="D1908" s="224">
        <v>25000</v>
      </c>
      <c r="E1908" s="224">
        <v>3075411</v>
      </c>
      <c r="F1908" s="224">
        <v>2483967</v>
      </c>
      <c r="G1908" s="224">
        <v>2523941</v>
      </c>
      <c r="H1908" s="224">
        <v>24000</v>
      </c>
      <c r="I1908" s="224">
        <v>100000</v>
      </c>
      <c r="J1908" s="224"/>
      <c r="K1908" s="224"/>
    </row>
    <row r="1909" spans="1:11">
      <c r="A1909" s="23" t="s">
        <v>193</v>
      </c>
      <c r="B1909" s="23">
        <v>21</v>
      </c>
      <c r="C1909" s="23">
        <v>29</v>
      </c>
      <c r="D1909" s="224"/>
      <c r="E1909" s="224"/>
      <c r="F1909" s="224"/>
      <c r="G1909" s="224"/>
      <c r="H1909" s="224"/>
      <c r="I1909" s="224">
        <v>30000</v>
      </c>
      <c r="J1909" s="224"/>
      <c r="K1909" s="224"/>
    </row>
    <row r="1910" spans="1:11">
      <c r="A1910" s="23" t="s">
        <v>193</v>
      </c>
      <c r="B1910" s="23">
        <v>21</v>
      </c>
      <c r="C1910" s="23">
        <v>31</v>
      </c>
      <c r="D1910" s="224"/>
      <c r="E1910" s="224">
        <v>24000</v>
      </c>
      <c r="F1910" s="224">
        <v>2000</v>
      </c>
      <c r="G1910" s="224">
        <v>5935</v>
      </c>
      <c r="H1910" s="224"/>
      <c r="I1910" s="224">
        <v>4000</v>
      </c>
      <c r="J1910" s="224"/>
      <c r="K1910" s="224"/>
    </row>
    <row r="1911" spans="1:11">
      <c r="A1911" s="23" t="s">
        <v>193</v>
      </c>
      <c r="B1911" s="23">
        <v>21</v>
      </c>
      <c r="C1911" s="23">
        <v>33</v>
      </c>
      <c r="D1911" s="224"/>
      <c r="E1911" s="224"/>
      <c r="F1911" s="224"/>
      <c r="G1911" s="224"/>
      <c r="H1911" s="224">
        <v>5000</v>
      </c>
      <c r="I1911" s="224"/>
      <c r="J1911" s="224"/>
      <c r="K1911" s="224"/>
    </row>
    <row r="1912" spans="1:11">
      <c r="A1912" s="23" t="s">
        <v>193</v>
      </c>
      <c r="B1912" s="23">
        <v>21</v>
      </c>
      <c r="C1912" s="23">
        <v>34</v>
      </c>
      <c r="D1912" s="224"/>
      <c r="E1912" s="224">
        <v>62465</v>
      </c>
      <c r="F1912" s="224"/>
      <c r="G1912" s="224">
        <v>14329</v>
      </c>
      <c r="H1912" s="224"/>
      <c r="I1912" s="224"/>
      <c r="J1912" s="224"/>
      <c r="K1912" s="224"/>
    </row>
    <row r="1913" spans="1:11">
      <c r="A1913" s="23" t="s">
        <v>193</v>
      </c>
      <c r="B1913" s="23">
        <v>24</v>
      </c>
      <c r="C1913" s="23">
        <v>26</v>
      </c>
      <c r="D1913" s="224"/>
      <c r="E1913" s="224">
        <v>675237</v>
      </c>
      <c r="F1913" s="224"/>
      <c r="G1913" s="224">
        <v>229777</v>
      </c>
      <c r="H1913" s="224"/>
      <c r="I1913" s="224"/>
      <c r="J1913" s="224"/>
      <c r="K1913" s="224"/>
    </row>
    <row r="1914" spans="1:11">
      <c r="A1914" s="23" t="s">
        <v>193</v>
      </c>
      <c r="B1914" s="23">
        <v>24</v>
      </c>
      <c r="C1914" s="23">
        <v>27</v>
      </c>
      <c r="D1914" s="224"/>
      <c r="E1914" s="224">
        <v>3596</v>
      </c>
      <c r="F1914" s="224">
        <v>187278</v>
      </c>
      <c r="G1914" s="224">
        <v>106575</v>
      </c>
      <c r="H1914" s="224"/>
      <c r="I1914" s="224"/>
      <c r="J1914" s="224"/>
      <c r="K1914" s="224"/>
    </row>
    <row r="1915" spans="1:11">
      <c r="A1915" s="23" t="s">
        <v>193</v>
      </c>
      <c r="B1915" s="23">
        <v>24</v>
      </c>
      <c r="C1915" s="23">
        <v>31</v>
      </c>
      <c r="D1915" s="224"/>
      <c r="E1915" s="224">
        <v>8048</v>
      </c>
      <c r="F1915" s="224"/>
      <c r="G1915" s="224">
        <v>1846</v>
      </c>
      <c r="H1915" s="224"/>
      <c r="I1915" s="224"/>
      <c r="J1915" s="224"/>
      <c r="K1915" s="224"/>
    </row>
    <row r="1916" spans="1:11">
      <c r="A1916" s="23" t="s">
        <v>193</v>
      </c>
      <c r="B1916" s="23">
        <v>29</v>
      </c>
      <c r="C1916" s="23">
        <v>26</v>
      </c>
      <c r="D1916" s="224"/>
      <c r="E1916" s="224"/>
      <c r="F1916" s="224"/>
      <c r="G1916" s="224"/>
      <c r="H1916" s="224"/>
      <c r="I1916" s="224">
        <v>10000</v>
      </c>
      <c r="J1916" s="224"/>
      <c r="K1916" s="224"/>
    </row>
    <row r="1917" spans="1:11">
      <c r="A1917" s="23" t="s">
        <v>278</v>
      </c>
      <c r="B1917" s="23">
        <v>21</v>
      </c>
      <c r="C1917" s="23">
        <v>21</v>
      </c>
      <c r="D1917" s="224"/>
      <c r="E1917" s="224"/>
      <c r="F1917" s="224">
        <v>11404</v>
      </c>
      <c r="G1917" s="224">
        <v>3804</v>
      </c>
      <c r="H1917" s="224"/>
      <c r="I1917" s="224">
        <v>2240</v>
      </c>
      <c r="J1917" s="224"/>
      <c r="K1917" s="224"/>
    </row>
    <row r="1918" spans="1:11">
      <c r="A1918" s="23" t="s">
        <v>278</v>
      </c>
      <c r="B1918" s="23">
        <v>21</v>
      </c>
      <c r="C1918" s="23">
        <v>23</v>
      </c>
      <c r="D1918" s="224"/>
      <c r="E1918" s="224"/>
      <c r="F1918" s="224">
        <v>39799</v>
      </c>
      <c r="G1918" s="224">
        <v>20724</v>
      </c>
      <c r="H1918" s="224">
        <v>1126</v>
      </c>
      <c r="I1918" s="224">
        <v>961</v>
      </c>
      <c r="J1918" s="224">
        <v>625</v>
      </c>
      <c r="K1918" s="224"/>
    </row>
    <row r="1919" spans="1:11">
      <c r="A1919" s="23" t="s">
        <v>278</v>
      </c>
      <c r="B1919" s="23">
        <v>21</v>
      </c>
      <c r="C1919" s="23">
        <v>26</v>
      </c>
      <c r="D1919" s="224"/>
      <c r="E1919" s="224">
        <v>146240</v>
      </c>
      <c r="F1919" s="224"/>
      <c r="G1919" s="224">
        <v>54689</v>
      </c>
      <c r="H1919" s="224">
        <v>7515</v>
      </c>
      <c r="I1919" s="224">
        <v>217993</v>
      </c>
      <c r="J1919" s="224">
        <v>4000</v>
      </c>
      <c r="K1919" s="224"/>
    </row>
    <row r="1920" spans="1:11">
      <c r="A1920" s="23" t="s">
        <v>278</v>
      </c>
      <c r="B1920" s="23">
        <v>21</v>
      </c>
      <c r="C1920" s="23">
        <v>27</v>
      </c>
      <c r="D1920" s="224"/>
      <c r="E1920" s="224">
        <v>329887</v>
      </c>
      <c r="F1920" s="224">
        <v>142272</v>
      </c>
      <c r="G1920" s="224">
        <v>211692</v>
      </c>
      <c r="H1920" s="224">
        <v>4835</v>
      </c>
      <c r="I1920" s="224">
        <v>1775</v>
      </c>
      <c r="J1920" s="224"/>
      <c r="K1920" s="224"/>
    </row>
    <row r="1921" spans="1:11">
      <c r="A1921" s="23" t="s">
        <v>278</v>
      </c>
      <c r="B1921" s="23">
        <v>21</v>
      </c>
      <c r="C1921" s="23">
        <v>31</v>
      </c>
      <c r="D1921" s="224"/>
      <c r="E1921" s="224">
        <v>927</v>
      </c>
      <c r="F1921" s="224">
        <v>1002</v>
      </c>
      <c r="G1921" s="224">
        <v>420</v>
      </c>
      <c r="H1921" s="224"/>
      <c r="I1921" s="224">
        <v>4800</v>
      </c>
      <c r="J1921" s="224"/>
      <c r="K1921" s="224"/>
    </row>
    <row r="1922" spans="1:11">
      <c r="A1922" s="23" t="s">
        <v>278</v>
      </c>
      <c r="B1922" s="23">
        <v>21</v>
      </c>
      <c r="C1922" s="23">
        <v>32</v>
      </c>
      <c r="D1922" s="224"/>
      <c r="E1922" s="224"/>
      <c r="F1922" s="224"/>
      <c r="G1922" s="224"/>
      <c r="H1922" s="224">
        <v>7120</v>
      </c>
      <c r="I1922" s="224"/>
      <c r="J1922" s="224"/>
      <c r="K1922" s="224"/>
    </row>
    <row r="1923" spans="1:11">
      <c r="A1923" s="23" t="s">
        <v>278</v>
      </c>
      <c r="B1923" s="23">
        <v>21</v>
      </c>
      <c r="C1923" s="23">
        <v>33</v>
      </c>
      <c r="D1923" s="224"/>
      <c r="E1923" s="224"/>
      <c r="F1923" s="224"/>
      <c r="G1923" s="224"/>
      <c r="H1923" s="224">
        <v>21744</v>
      </c>
      <c r="I1923" s="224"/>
      <c r="J1923" s="224"/>
      <c r="K1923" s="224"/>
    </row>
    <row r="1924" spans="1:11">
      <c r="A1924" s="23" t="s">
        <v>278</v>
      </c>
      <c r="B1924" s="23">
        <v>21</v>
      </c>
      <c r="C1924" s="23">
        <v>34</v>
      </c>
      <c r="D1924" s="224"/>
      <c r="E1924" s="224">
        <v>6876</v>
      </c>
      <c r="F1924" s="224"/>
      <c r="G1924" s="224">
        <v>1573</v>
      </c>
      <c r="H1924" s="224"/>
      <c r="I1924" s="224">
        <v>300</v>
      </c>
      <c r="J1924" s="224"/>
      <c r="K1924" s="224"/>
    </row>
    <row r="1925" spans="1:11">
      <c r="A1925" s="23" t="s">
        <v>278</v>
      </c>
      <c r="B1925" s="23">
        <v>24</v>
      </c>
      <c r="C1925" s="23">
        <v>26</v>
      </c>
      <c r="D1925" s="224"/>
      <c r="E1925" s="224">
        <v>17242</v>
      </c>
      <c r="F1925" s="224"/>
      <c r="G1925" s="224">
        <v>7707</v>
      </c>
      <c r="H1925" s="224"/>
      <c r="I1925" s="224">
        <v>8704</v>
      </c>
      <c r="J1925" s="224"/>
      <c r="K1925" s="224"/>
    </row>
    <row r="1926" spans="1:11">
      <c r="A1926" s="23" t="s">
        <v>278</v>
      </c>
      <c r="B1926" s="23">
        <v>24</v>
      </c>
      <c r="C1926" s="23">
        <v>27</v>
      </c>
      <c r="D1926" s="224"/>
      <c r="E1926" s="224">
        <v>70517</v>
      </c>
      <c r="F1926" s="224">
        <v>25780</v>
      </c>
      <c r="G1926" s="224">
        <v>46048</v>
      </c>
      <c r="H1926" s="224"/>
      <c r="I1926" s="224"/>
      <c r="J1926" s="224"/>
      <c r="K1926" s="224"/>
    </row>
    <row r="1927" spans="1:11">
      <c r="A1927" s="23" t="s">
        <v>278</v>
      </c>
      <c r="B1927" s="23">
        <v>24</v>
      </c>
      <c r="C1927" s="23">
        <v>31</v>
      </c>
      <c r="D1927" s="224"/>
      <c r="E1927" s="224"/>
      <c r="F1927" s="224"/>
      <c r="G1927" s="224"/>
      <c r="H1927" s="224"/>
      <c r="I1927" s="224">
        <v>1500</v>
      </c>
      <c r="J1927" s="224">
        <v>500</v>
      </c>
      <c r="K1927" s="224"/>
    </row>
    <row r="1928" spans="1:11">
      <c r="A1928" s="23" t="s">
        <v>278</v>
      </c>
      <c r="B1928" s="23">
        <v>24</v>
      </c>
      <c r="C1928" s="23">
        <v>33</v>
      </c>
      <c r="D1928" s="224"/>
      <c r="E1928" s="224"/>
      <c r="F1928" s="224"/>
      <c r="G1928" s="224"/>
      <c r="H1928" s="224">
        <v>2000</v>
      </c>
      <c r="I1928" s="224"/>
      <c r="J1928" s="224"/>
      <c r="K1928" s="224"/>
    </row>
    <row r="1929" spans="1:11">
      <c r="A1929" s="23" t="s">
        <v>280</v>
      </c>
      <c r="B1929" s="23">
        <v>21</v>
      </c>
      <c r="C1929" s="23">
        <v>21</v>
      </c>
      <c r="D1929" s="224"/>
      <c r="E1929" s="224">
        <v>1177477</v>
      </c>
      <c r="F1929" s="224">
        <v>456971</v>
      </c>
      <c r="G1929" s="224">
        <v>548795</v>
      </c>
      <c r="H1929" s="224">
        <v>16000</v>
      </c>
      <c r="I1929" s="224">
        <v>25600</v>
      </c>
      <c r="J1929" s="224">
        <v>30000</v>
      </c>
      <c r="K1929" s="224"/>
    </row>
    <row r="1930" spans="1:11">
      <c r="A1930" s="23" t="s">
        <v>280</v>
      </c>
      <c r="B1930" s="23">
        <v>21</v>
      </c>
      <c r="C1930" s="23">
        <v>23</v>
      </c>
      <c r="D1930" s="224"/>
      <c r="E1930" s="224">
        <v>160652</v>
      </c>
      <c r="F1930" s="224">
        <v>84879</v>
      </c>
      <c r="G1930" s="224">
        <v>89261</v>
      </c>
      <c r="H1930" s="224"/>
      <c r="I1930" s="224"/>
      <c r="J1930" s="224"/>
      <c r="K1930" s="224"/>
    </row>
    <row r="1931" spans="1:11">
      <c r="A1931" s="23" t="s">
        <v>280</v>
      </c>
      <c r="B1931" s="23">
        <v>21</v>
      </c>
      <c r="C1931" s="23">
        <v>26</v>
      </c>
      <c r="D1931" s="224"/>
      <c r="E1931" s="224">
        <v>7996079</v>
      </c>
      <c r="F1931" s="224">
        <v>388104</v>
      </c>
      <c r="G1931" s="224">
        <v>3112663</v>
      </c>
      <c r="H1931" s="224">
        <v>55500</v>
      </c>
      <c r="I1931" s="224">
        <v>922629</v>
      </c>
      <c r="J1931" s="224">
        <v>7500</v>
      </c>
      <c r="K1931" s="224"/>
    </row>
    <row r="1932" spans="1:11">
      <c r="A1932" s="23" t="s">
        <v>280</v>
      </c>
      <c r="B1932" s="23">
        <v>21</v>
      </c>
      <c r="C1932" s="23">
        <v>27</v>
      </c>
      <c r="D1932" s="224">
        <v>5000</v>
      </c>
      <c r="E1932" s="224">
        <v>10663473</v>
      </c>
      <c r="F1932" s="224">
        <v>12728774</v>
      </c>
      <c r="G1932" s="224">
        <v>11445153</v>
      </c>
      <c r="H1932" s="224">
        <v>102100</v>
      </c>
      <c r="I1932" s="224">
        <v>2790210</v>
      </c>
      <c r="J1932" s="224">
        <v>8000</v>
      </c>
      <c r="K1932" s="224"/>
    </row>
    <row r="1933" spans="1:11">
      <c r="A1933" s="23" t="s">
        <v>280</v>
      </c>
      <c r="B1933" s="23">
        <v>21</v>
      </c>
      <c r="C1933" s="23">
        <v>31</v>
      </c>
      <c r="D1933" s="224"/>
      <c r="E1933" s="224">
        <v>1148149</v>
      </c>
      <c r="F1933" s="224">
        <v>36000</v>
      </c>
      <c r="G1933" s="224">
        <v>391605</v>
      </c>
      <c r="H1933" s="224">
        <v>5000</v>
      </c>
      <c r="I1933" s="224">
        <v>62000</v>
      </c>
      <c r="J1933" s="224">
        <v>12500</v>
      </c>
      <c r="K1933" s="224"/>
    </row>
    <row r="1934" spans="1:11">
      <c r="A1934" s="23" t="s">
        <v>280</v>
      </c>
      <c r="B1934" s="23">
        <v>21</v>
      </c>
      <c r="C1934" s="23">
        <v>33</v>
      </c>
      <c r="D1934" s="224"/>
      <c r="E1934" s="224"/>
      <c r="F1934" s="224"/>
      <c r="G1934" s="224"/>
      <c r="H1934" s="224">
        <v>35000</v>
      </c>
      <c r="I1934" s="224">
        <v>62000</v>
      </c>
      <c r="J1934" s="224"/>
      <c r="K1934" s="224"/>
    </row>
    <row r="1935" spans="1:11">
      <c r="A1935" s="23" t="s">
        <v>280</v>
      </c>
      <c r="B1935" s="23">
        <v>21</v>
      </c>
      <c r="C1935" s="23">
        <v>34</v>
      </c>
      <c r="D1935" s="224"/>
      <c r="E1935" s="224">
        <v>325854</v>
      </c>
      <c r="F1935" s="224"/>
      <c r="G1935" s="224">
        <v>61332</v>
      </c>
      <c r="H1935" s="224"/>
      <c r="I1935" s="224"/>
      <c r="J1935" s="224"/>
      <c r="K1935" s="224"/>
    </row>
    <row r="1936" spans="1:11">
      <c r="A1936" s="23" t="s">
        <v>280</v>
      </c>
      <c r="B1936" s="23">
        <v>24</v>
      </c>
      <c r="C1936" s="23">
        <v>26</v>
      </c>
      <c r="D1936" s="224"/>
      <c r="E1936" s="224">
        <v>1000</v>
      </c>
      <c r="F1936" s="224"/>
      <c r="G1936" s="224">
        <v>225</v>
      </c>
      <c r="H1936" s="224"/>
      <c r="I1936" s="224"/>
      <c r="J1936" s="224"/>
      <c r="K1936" s="224"/>
    </row>
    <row r="1937" spans="1:11">
      <c r="A1937" s="23" t="s">
        <v>280</v>
      </c>
      <c r="B1937" s="23">
        <v>24</v>
      </c>
      <c r="C1937" s="23">
        <v>27</v>
      </c>
      <c r="D1937" s="224"/>
      <c r="E1937" s="224">
        <v>3261801</v>
      </c>
      <c r="F1937" s="224">
        <v>32202</v>
      </c>
      <c r="G1937" s="224">
        <v>1225124</v>
      </c>
      <c r="H1937" s="224"/>
      <c r="I1937" s="224"/>
      <c r="J1937" s="224"/>
      <c r="K1937" s="224"/>
    </row>
    <row r="1938" spans="1:11">
      <c r="A1938" s="23" t="s">
        <v>501</v>
      </c>
      <c r="B1938" s="23">
        <v>21</v>
      </c>
      <c r="C1938" s="23">
        <v>21</v>
      </c>
      <c r="D1938" s="224"/>
      <c r="E1938" s="224">
        <v>119353</v>
      </c>
      <c r="F1938" s="224">
        <v>34660</v>
      </c>
      <c r="G1938" s="224">
        <v>50345</v>
      </c>
      <c r="H1938" s="224">
        <v>900</v>
      </c>
      <c r="I1938" s="224">
        <v>17750</v>
      </c>
      <c r="J1938" s="224">
        <v>50</v>
      </c>
      <c r="K1938" s="224"/>
    </row>
    <row r="1939" spans="1:11">
      <c r="A1939" s="23" t="s">
        <v>501</v>
      </c>
      <c r="B1939" s="23">
        <v>21</v>
      </c>
      <c r="C1939" s="23">
        <v>26</v>
      </c>
      <c r="D1939" s="224"/>
      <c r="E1939" s="224">
        <v>493909</v>
      </c>
      <c r="F1939" s="224"/>
      <c r="G1939" s="224">
        <v>169302</v>
      </c>
      <c r="H1939" s="224">
        <v>8000</v>
      </c>
      <c r="I1939" s="224">
        <v>15000</v>
      </c>
      <c r="J1939" s="224"/>
      <c r="K1939" s="224"/>
    </row>
    <row r="1940" spans="1:11">
      <c r="A1940" s="23" t="s">
        <v>501</v>
      </c>
      <c r="B1940" s="23">
        <v>21</v>
      </c>
      <c r="C1940" s="23">
        <v>27</v>
      </c>
      <c r="D1940" s="224"/>
      <c r="E1940" s="224">
        <v>761318</v>
      </c>
      <c r="F1940" s="224">
        <v>677906</v>
      </c>
      <c r="G1940" s="224">
        <v>651032</v>
      </c>
      <c r="H1940" s="224">
        <v>1500</v>
      </c>
      <c r="I1940" s="224">
        <v>50000</v>
      </c>
      <c r="J1940" s="224"/>
      <c r="K1940" s="224"/>
    </row>
    <row r="1941" spans="1:11">
      <c r="A1941" s="23" t="s">
        <v>501</v>
      </c>
      <c r="B1941" s="23">
        <v>21</v>
      </c>
      <c r="C1941" s="23">
        <v>31</v>
      </c>
      <c r="D1941" s="224"/>
      <c r="E1941" s="224"/>
      <c r="F1941" s="224"/>
      <c r="G1941" s="224"/>
      <c r="H1941" s="224">
        <v>100</v>
      </c>
      <c r="I1941" s="224">
        <v>15000</v>
      </c>
      <c r="J1941" s="224">
        <v>100</v>
      </c>
      <c r="K1941" s="224"/>
    </row>
    <row r="1942" spans="1:11">
      <c r="A1942" s="23" t="s">
        <v>501</v>
      </c>
      <c r="B1942" s="23">
        <v>21</v>
      </c>
      <c r="C1942" s="23">
        <v>33</v>
      </c>
      <c r="D1942" s="224"/>
      <c r="E1942" s="224"/>
      <c r="F1942" s="224"/>
      <c r="G1942" s="224"/>
      <c r="H1942" s="224">
        <v>4000</v>
      </c>
      <c r="I1942" s="224"/>
      <c r="J1942" s="224"/>
      <c r="K1942" s="224"/>
    </row>
    <row r="1943" spans="1:11">
      <c r="A1943" s="23" t="s">
        <v>501</v>
      </c>
      <c r="B1943" s="23">
        <v>24</v>
      </c>
      <c r="C1943" s="23">
        <v>21</v>
      </c>
      <c r="D1943" s="224"/>
      <c r="E1943" s="224">
        <v>31827</v>
      </c>
      <c r="F1943" s="224"/>
      <c r="G1943" s="224">
        <v>9570</v>
      </c>
      <c r="H1943" s="224"/>
      <c r="I1943" s="224"/>
      <c r="J1943" s="224"/>
      <c r="K1943" s="224"/>
    </row>
    <row r="1944" spans="1:11">
      <c r="A1944" s="23" t="s">
        <v>501</v>
      </c>
      <c r="B1944" s="23">
        <v>24</v>
      </c>
      <c r="C1944" s="23">
        <v>26</v>
      </c>
      <c r="D1944" s="224"/>
      <c r="E1944" s="224"/>
      <c r="F1944" s="224"/>
      <c r="G1944" s="224"/>
      <c r="H1944" s="224"/>
      <c r="I1944" s="224">
        <v>35000</v>
      </c>
      <c r="J1944" s="224"/>
      <c r="K1944" s="224"/>
    </row>
    <row r="1945" spans="1:11">
      <c r="A1945" s="23" t="s">
        <v>501</v>
      </c>
      <c r="B1945" s="23">
        <v>24</v>
      </c>
      <c r="C1945" s="23">
        <v>27</v>
      </c>
      <c r="D1945" s="224"/>
      <c r="E1945" s="224">
        <v>73886</v>
      </c>
      <c r="F1945" s="224">
        <v>123</v>
      </c>
      <c r="G1945" s="224">
        <v>30222</v>
      </c>
      <c r="H1945" s="224"/>
      <c r="I1945" s="224"/>
      <c r="J1945" s="224"/>
      <c r="K1945" s="224"/>
    </row>
    <row r="1946" spans="1:11">
      <c r="A1946" s="23" t="s">
        <v>503</v>
      </c>
      <c r="B1946" s="23">
        <v>21</v>
      </c>
      <c r="C1946" s="23">
        <v>27</v>
      </c>
      <c r="D1946" s="224"/>
      <c r="E1946" s="224"/>
      <c r="F1946" s="224"/>
      <c r="G1946" s="224"/>
      <c r="H1946" s="224"/>
      <c r="I1946" s="224">
        <v>678804</v>
      </c>
      <c r="J1946" s="224"/>
      <c r="K1946" s="224"/>
    </row>
    <row r="1947" spans="1:11">
      <c r="A1947" s="23" t="s">
        <v>505</v>
      </c>
      <c r="B1947" s="23">
        <v>21</v>
      </c>
      <c r="C1947" s="23">
        <v>21</v>
      </c>
      <c r="D1947" s="224"/>
      <c r="E1947" s="224"/>
      <c r="F1947" s="224"/>
      <c r="G1947" s="224"/>
      <c r="H1947" s="224">
        <v>3100</v>
      </c>
      <c r="I1947" s="224">
        <v>400</v>
      </c>
      <c r="J1947" s="224">
        <v>600</v>
      </c>
      <c r="K1947" s="224"/>
    </row>
    <row r="1948" spans="1:11">
      <c r="A1948" s="23" t="s">
        <v>505</v>
      </c>
      <c r="B1948" s="23">
        <v>21</v>
      </c>
      <c r="C1948" s="23">
        <v>26</v>
      </c>
      <c r="D1948" s="224"/>
      <c r="E1948" s="224">
        <v>266002</v>
      </c>
      <c r="F1948" s="224"/>
      <c r="G1948" s="224">
        <v>131387</v>
      </c>
      <c r="H1948" s="224">
        <v>3000</v>
      </c>
      <c r="I1948" s="224">
        <v>223200</v>
      </c>
      <c r="J1948" s="224"/>
      <c r="K1948" s="224"/>
    </row>
    <row r="1949" spans="1:11">
      <c r="A1949" s="23" t="s">
        <v>505</v>
      </c>
      <c r="B1949" s="23">
        <v>21</v>
      </c>
      <c r="C1949" s="23">
        <v>27</v>
      </c>
      <c r="D1949" s="224"/>
      <c r="E1949" s="224">
        <v>1159864</v>
      </c>
      <c r="F1949" s="224">
        <v>789943</v>
      </c>
      <c r="G1949" s="224">
        <v>992198</v>
      </c>
      <c r="H1949" s="224">
        <v>5500</v>
      </c>
      <c r="I1949" s="224">
        <v>31000</v>
      </c>
      <c r="J1949" s="224">
        <v>150</v>
      </c>
      <c r="K1949" s="224"/>
    </row>
    <row r="1950" spans="1:11">
      <c r="A1950" s="23" t="s">
        <v>505</v>
      </c>
      <c r="B1950" s="23">
        <v>21</v>
      </c>
      <c r="C1950" s="23">
        <v>31</v>
      </c>
      <c r="D1950" s="224"/>
      <c r="E1950" s="224"/>
      <c r="F1950" s="224"/>
      <c r="G1950" s="224"/>
      <c r="H1950" s="224"/>
      <c r="I1950" s="224">
        <v>4200</v>
      </c>
      <c r="J1950" s="224"/>
      <c r="K1950" s="224"/>
    </row>
    <row r="1951" spans="1:11">
      <c r="A1951" s="23" t="s">
        <v>505</v>
      </c>
      <c r="B1951" s="23">
        <v>21</v>
      </c>
      <c r="C1951" s="23">
        <v>32</v>
      </c>
      <c r="D1951" s="224"/>
      <c r="E1951" s="224"/>
      <c r="F1951" s="224"/>
      <c r="G1951" s="224"/>
      <c r="H1951" s="224">
        <v>7000</v>
      </c>
      <c r="I1951" s="224"/>
      <c r="J1951" s="224"/>
      <c r="K1951" s="224"/>
    </row>
    <row r="1952" spans="1:11">
      <c r="A1952" s="23" t="s">
        <v>505</v>
      </c>
      <c r="B1952" s="23">
        <v>21</v>
      </c>
      <c r="C1952" s="23">
        <v>34</v>
      </c>
      <c r="D1952" s="224"/>
      <c r="E1952" s="224">
        <v>28037</v>
      </c>
      <c r="F1952" s="224"/>
      <c r="G1952" s="224">
        <v>7086</v>
      </c>
      <c r="H1952" s="224"/>
      <c r="I1952" s="224"/>
      <c r="J1952" s="224"/>
      <c r="K1952" s="224"/>
    </row>
    <row r="1953" spans="1:11">
      <c r="A1953" s="23" t="s">
        <v>505</v>
      </c>
      <c r="B1953" s="23">
        <v>24</v>
      </c>
      <c r="C1953" s="23">
        <v>21</v>
      </c>
      <c r="D1953" s="224"/>
      <c r="E1953" s="224">
        <v>135713</v>
      </c>
      <c r="F1953" s="224">
        <v>69475</v>
      </c>
      <c r="G1953" s="224">
        <v>72433</v>
      </c>
      <c r="H1953" s="224">
        <v>200</v>
      </c>
      <c r="I1953" s="224"/>
      <c r="J1953" s="224"/>
      <c r="K1953" s="224"/>
    </row>
    <row r="1954" spans="1:11">
      <c r="A1954" s="23" t="s">
        <v>505</v>
      </c>
      <c r="B1954" s="23">
        <v>24</v>
      </c>
      <c r="C1954" s="23">
        <v>27</v>
      </c>
      <c r="D1954" s="224"/>
      <c r="E1954" s="224">
        <v>1740</v>
      </c>
      <c r="F1954" s="224">
        <v>53002</v>
      </c>
      <c r="G1954" s="224">
        <v>21124</v>
      </c>
      <c r="H1954" s="224">
        <v>1000</v>
      </c>
      <c r="I1954" s="224">
        <v>136575</v>
      </c>
      <c r="J1954" s="224"/>
      <c r="K1954" s="224"/>
    </row>
    <row r="1955" spans="1:11">
      <c r="A1955" s="23" t="s">
        <v>507</v>
      </c>
      <c r="B1955" s="23">
        <v>21</v>
      </c>
      <c r="C1955" s="23">
        <v>26</v>
      </c>
      <c r="D1955" s="224"/>
      <c r="E1955" s="224"/>
      <c r="F1955" s="224"/>
      <c r="G1955" s="224"/>
      <c r="H1955" s="224">
        <v>300</v>
      </c>
      <c r="I1955" s="224">
        <v>130185</v>
      </c>
      <c r="J1955" s="224"/>
      <c r="K1955" s="224"/>
    </row>
    <row r="1956" spans="1:11">
      <c r="A1956" s="23" t="s">
        <v>507</v>
      </c>
      <c r="B1956" s="23">
        <v>21</v>
      </c>
      <c r="C1956" s="23">
        <v>27</v>
      </c>
      <c r="D1956" s="224"/>
      <c r="E1956" s="224">
        <v>1050</v>
      </c>
      <c r="F1956" s="224">
        <v>138329</v>
      </c>
      <c r="G1956" s="224">
        <v>90855</v>
      </c>
      <c r="H1956" s="224">
        <v>880</v>
      </c>
      <c r="I1956" s="224">
        <v>50231</v>
      </c>
      <c r="J1956" s="224"/>
      <c r="K1956" s="224"/>
    </row>
    <row r="1957" spans="1:11">
      <c r="A1957" s="23" t="s">
        <v>507</v>
      </c>
      <c r="B1957" s="23">
        <v>21</v>
      </c>
      <c r="C1957" s="23">
        <v>31</v>
      </c>
      <c r="D1957" s="224"/>
      <c r="E1957" s="224"/>
      <c r="F1957" s="224"/>
      <c r="G1957" s="224"/>
      <c r="H1957" s="224"/>
      <c r="I1957" s="224">
        <v>100</v>
      </c>
      <c r="J1957" s="224"/>
      <c r="K1957" s="224"/>
    </row>
    <row r="1958" spans="1:11">
      <c r="A1958" s="23" t="s">
        <v>507</v>
      </c>
      <c r="B1958" s="23">
        <v>21</v>
      </c>
      <c r="C1958" s="23">
        <v>32</v>
      </c>
      <c r="D1958" s="224"/>
      <c r="E1958" s="224"/>
      <c r="F1958" s="224"/>
      <c r="G1958" s="224"/>
      <c r="H1958" s="224">
        <v>200</v>
      </c>
      <c r="I1958" s="224"/>
      <c r="J1958" s="224"/>
      <c r="K1958" s="224"/>
    </row>
    <row r="1959" spans="1:11">
      <c r="A1959" s="23" t="s">
        <v>507</v>
      </c>
      <c r="B1959" s="23">
        <v>24</v>
      </c>
      <c r="C1959" s="23">
        <v>26</v>
      </c>
      <c r="D1959" s="224"/>
      <c r="E1959" s="224"/>
      <c r="F1959" s="224"/>
      <c r="G1959" s="224"/>
      <c r="H1959" s="224"/>
      <c r="I1959" s="224">
        <v>682</v>
      </c>
      <c r="J1959" s="224"/>
      <c r="K1959" s="224"/>
    </row>
    <row r="1960" spans="1:11">
      <c r="A1960" s="23" t="s">
        <v>507</v>
      </c>
      <c r="B1960" s="23">
        <v>24</v>
      </c>
      <c r="C1960" s="23">
        <v>27</v>
      </c>
      <c r="D1960" s="224"/>
      <c r="E1960" s="224"/>
      <c r="F1960" s="224"/>
      <c r="G1960" s="224"/>
      <c r="H1960" s="224"/>
      <c r="I1960" s="224">
        <v>67057</v>
      </c>
      <c r="J1960" s="224"/>
      <c r="K1960" s="224"/>
    </row>
    <row r="1961" spans="1:11">
      <c r="A1961" s="23" t="s">
        <v>509</v>
      </c>
      <c r="B1961" s="23">
        <v>21</v>
      </c>
      <c r="C1961" s="23">
        <v>21</v>
      </c>
      <c r="D1961" s="224"/>
      <c r="E1961" s="224">
        <v>477329</v>
      </c>
      <c r="F1961" s="224">
        <v>73391</v>
      </c>
      <c r="G1961" s="224">
        <v>203080</v>
      </c>
      <c r="H1961" s="224"/>
      <c r="I1961" s="224"/>
      <c r="J1961" s="224"/>
      <c r="K1961" s="224"/>
    </row>
    <row r="1962" spans="1:11">
      <c r="A1962" s="23" t="s">
        <v>509</v>
      </c>
      <c r="B1962" s="23">
        <v>21</v>
      </c>
      <c r="C1962" s="23">
        <v>23</v>
      </c>
      <c r="D1962" s="224"/>
      <c r="E1962" s="224"/>
      <c r="F1962" s="224">
        <v>12080</v>
      </c>
      <c r="G1962" s="224">
        <v>7635</v>
      </c>
      <c r="H1962" s="224"/>
      <c r="I1962" s="224"/>
      <c r="J1962" s="224"/>
      <c r="K1962" s="224"/>
    </row>
    <row r="1963" spans="1:11">
      <c r="A1963" s="23" t="s">
        <v>509</v>
      </c>
      <c r="B1963" s="23">
        <v>21</v>
      </c>
      <c r="C1963" s="23">
        <v>24</v>
      </c>
      <c r="D1963" s="224"/>
      <c r="E1963" s="224"/>
      <c r="F1963" s="224">
        <v>71975</v>
      </c>
      <c r="G1963" s="224">
        <v>40582</v>
      </c>
      <c r="H1963" s="224"/>
      <c r="I1963" s="224"/>
      <c r="J1963" s="224"/>
      <c r="K1963" s="224"/>
    </row>
    <row r="1964" spans="1:11">
      <c r="A1964" s="23" t="s">
        <v>509</v>
      </c>
      <c r="B1964" s="23">
        <v>21</v>
      </c>
      <c r="C1964" s="23">
        <v>25</v>
      </c>
      <c r="D1964" s="224"/>
      <c r="E1964" s="224"/>
      <c r="F1964" s="224">
        <v>154451</v>
      </c>
      <c r="G1964" s="224">
        <v>124534</v>
      </c>
      <c r="H1964" s="224"/>
      <c r="I1964" s="224"/>
      <c r="J1964" s="224"/>
      <c r="K1964" s="224"/>
    </row>
    <row r="1965" spans="1:11">
      <c r="A1965" s="23" t="s">
        <v>509</v>
      </c>
      <c r="B1965" s="23">
        <v>21</v>
      </c>
      <c r="C1965" s="23">
        <v>26</v>
      </c>
      <c r="D1965" s="224"/>
      <c r="E1965" s="224">
        <v>1135565</v>
      </c>
      <c r="F1965" s="224">
        <v>47119</v>
      </c>
      <c r="G1965" s="224">
        <v>472804</v>
      </c>
      <c r="H1965" s="224"/>
      <c r="I1965" s="224">
        <v>400000</v>
      </c>
      <c r="J1965" s="224"/>
      <c r="K1965" s="224"/>
    </row>
    <row r="1966" spans="1:11">
      <c r="A1966" s="23" t="s">
        <v>509</v>
      </c>
      <c r="B1966" s="23">
        <v>21</v>
      </c>
      <c r="C1966" s="23">
        <v>27</v>
      </c>
      <c r="D1966" s="224"/>
      <c r="E1966" s="224">
        <v>2445283</v>
      </c>
      <c r="F1966" s="224">
        <v>1192177</v>
      </c>
      <c r="G1966" s="224">
        <v>1851176</v>
      </c>
      <c r="H1966" s="224">
        <v>200000</v>
      </c>
      <c r="I1966" s="224"/>
      <c r="J1966" s="224"/>
      <c r="K1966" s="224"/>
    </row>
    <row r="1967" spans="1:11">
      <c r="A1967" s="23" t="s">
        <v>509</v>
      </c>
      <c r="B1967" s="23">
        <v>21</v>
      </c>
      <c r="C1967" s="23">
        <v>31</v>
      </c>
      <c r="D1967" s="224"/>
      <c r="E1967" s="224">
        <v>3039</v>
      </c>
      <c r="F1967" s="224"/>
      <c r="G1967" s="224">
        <v>278</v>
      </c>
      <c r="H1967" s="224"/>
      <c r="I1967" s="224"/>
      <c r="J1967" s="224"/>
      <c r="K1967" s="224"/>
    </row>
    <row r="1968" spans="1:11">
      <c r="A1968" s="23" t="s">
        <v>509</v>
      </c>
      <c r="B1968" s="23">
        <v>21</v>
      </c>
      <c r="C1968" s="23">
        <v>34</v>
      </c>
      <c r="D1968" s="224"/>
      <c r="E1968" s="224">
        <v>59231</v>
      </c>
      <c r="F1968" s="224"/>
      <c r="G1968" s="224">
        <v>14306</v>
      </c>
      <c r="H1968" s="224"/>
      <c r="I1968" s="224"/>
      <c r="J1968" s="224"/>
      <c r="K1968" s="224"/>
    </row>
    <row r="1969" spans="1:11">
      <c r="A1969" s="23" t="s">
        <v>509</v>
      </c>
      <c r="B1969" s="23">
        <v>24</v>
      </c>
      <c r="C1969" s="23">
        <v>27</v>
      </c>
      <c r="D1969" s="224"/>
      <c r="E1969" s="224"/>
      <c r="F1969" s="224">
        <v>587935</v>
      </c>
      <c r="G1969" s="224">
        <v>425056</v>
      </c>
      <c r="H1969" s="224">
        <v>53000</v>
      </c>
      <c r="I1969" s="224"/>
      <c r="J1969" s="224"/>
      <c r="K1969" s="224"/>
    </row>
    <row r="1970" spans="1:11">
      <c r="A1970" s="23" t="s">
        <v>511</v>
      </c>
      <c r="B1970" s="23">
        <v>21</v>
      </c>
      <c r="C1970" s="23">
        <v>21</v>
      </c>
      <c r="D1970" s="224"/>
      <c r="E1970" s="224">
        <v>120290</v>
      </c>
      <c r="F1970" s="224">
        <v>78064</v>
      </c>
      <c r="G1970" s="224">
        <v>74871</v>
      </c>
      <c r="H1970" s="224">
        <v>500</v>
      </c>
      <c r="I1970" s="224">
        <v>800</v>
      </c>
      <c r="J1970" s="224"/>
      <c r="K1970" s="224"/>
    </row>
    <row r="1971" spans="1:11">
      <c r="A1971" s="23" t="s">
        <v>511</v>
      </c>
      <c r="B1971" s="23">
        <v>21</v>
      </c>
      <c r="C1971" s="23">
        <v>25</v>
      </c>
      <c r="D1971" s="224"/>
      <c r="E1971" s="224"/>
      <c r="F1971" s="224">
        <v>69099</v>
      </c>
      <c r="G1971" s="224">
        <v>40229</v>
      </c>
      <c r="H1971" s="224"/>
      <c r="I1971" s="224"/>
      <c r="J1971" s="224"/>
      <c r="K1971" s="224"/>
    </row>
    <row r="1972" spans="1:11">
      <c r="A1972" s="23" t="s">
        <v>511</v>
      </c>
      <c r="B1972" s="23">
        <v>21</v>
      </c>
      <c r="C1972" s="23">
        <v>26</v>
      </c>
      <c r="D1972" s="224"/>
      <c r="E1972" s="224">
        <v>514612</v>
      </c>
      <c r="F1972" s="224">
        <v>70536</v>
      </c>
      <c r="G1972" s="224">
        <v>223158</v>
      </c>
      <c r="H1972" s="224">
        <v>500</v>
      </c>
      <c r="I1972" s="224"/>
      <c r="J1972" s="224">
        <v>3000</v>
      </c>
      <c r="K1972" s="224"/>
    </row>
    <row r="1973" spans="1:11">
      <c r="A1973" s="23" t="s">
        <v>511</v>
      </c>
      <c r="B1973" s="23">
        <v>21</v>
      </c>
      <c r="C1973" s="23">
        <v>27</v>
      </c>
      <c r="D1973" s="224"/>
      <c r="E1973" s="224">
        <v>1529387</v>
      </c>
      <c r="F1973" s="224">
        <v>690044</v>
      </c>
      <c r="G1973" s="224">
        <v>1050782</v>
      </c>
      <c r="H1973" s="224">
        <v>813</v>
      </c>
      <c r="I1973" s="224">
        <v>137500</v>
      </c>
      <c r="J1973" s="224"/>
      <c r="K1973" s="224"/>
    </row>
    <row r="1974" spans="1:11">
      <c r="A1974" s="23" t="s">
        <v>511</v>
      </c>
      <c r="B1974" s="23">
        <v>21</v>
      </c>
      <c r="C1974" s="23">
        <v>31</v>
      </c>
      <c r="D1974" s="224"/>
      <c r="E1974" s="224">
        <v>4000</v>
      </c>
      <c r="F1974" s="224">
        <v>3150</v>
      </c>
      <c r="G1974" s="224">
        <v>1058</v>
      </c>
      <c r="H1974" s="224"/>
      <c r="I1974" s="224">
        <v>1000</v>
      </c>
      <c r="J1974" s="224">
        <v>1000</v>
      </c>
      <c r="K1974" s="224"/>
    </row>
    <row r="1975" spans="1:11">
      <c r="A1975" s="23" t="s">
        <v>511</v>
      </c>
      <c r="B1975" s="23">
        <v>21</v>
      </c>
      <c r="C1975" s="23">
        <v>34</v>
      </c>
      <c r="D1975" s="224"/>
      <c r="E1975" s="224">
        <v>21089</v>
      </c>
      <c r="F1975" s="224"/>
      <c r="G1975" s="224">
        <v>10399</v>
      </c>
      <c r="H1975" s="224"/>
      <c r="I1975" s="224"/>
      <c r="J1975" s="224"/>
      <c r="K1975" s="224"/>
    </row>
    <row r="1976" spans="1:11">
      <c r="A1976" s="23" t="s">
        <v>511</v>
      </c>
      <c r="B1976" s="23">
        <v>23</v>
      </c>
      <c r="C1976" s="23">
        <v>26</v>
      </c>
      <c r="D1976" s="224"/>
      <c r="E1976" s="224">
        <v>38000</v>
      </c>
      <c r="F1976" s="224"/>
      <c r="G1976" s="224">
        <v>8550</v>
      </c>
      <c r="H1976" s="224"/>
      <c r="I1976" s="224"/>
      <c r="J1976" s="224"/>
      <c r="K1976" s="224"/>
    </row>
    <row r="1977" spans="1:11">
      <c r="A1977" s="23" t="s">
        <v>511</v>
      </c>
      <c r="B1977" s="23">
        <v>23</v>
      </c>
      <c r="C1977" s="23">
        <v>27</v>
      </c>
      <c r="D1977" s="224"/>
      <c r="E1977" s="224">
        <v>20000</v>
      </c>
      <c r="F1977" s="224">
        <v>38200</v>
      </c>
      <c r="G1977" s="224">
        <v>12185</v>
      </c>
      <c r="H1977" s="224">
        <v>28922</v>
      </c>
      <c r="I1977" s="224">
        <v>32235</v>
      </c>
      <c r="J1977" s="224">
        <v>1229</v>
      </c>
      <c r="K1977" s="224"/>
    </row>
    <row r="1978" spans="1:11">
      <c r="A1978" s="23" t="s">
        <v>511</v>
      </c>
      <c r="B1978" s="23">
        <v>24</v>
      </c>
      <c r="C1978" s="23">
        <v>26</v>
      </c>
      <c r="D1978" s="224"/>
      <c r="E1978" s="224"/>
      <c r="F1978" s="224">
        <v>333726</v>
      </c>
      <c r="G1978" s="224">
        <v>204616</v>
      </c>
      <c r="H1978" s="224"/>
      <c r="I1978" s="224">
        <v>199915</v>
      </c>
      <c r="J1978" s="224"/>
      <c r="K1978" s="224"/>
    </row>
    <row r="1979" spans="1:11">
      <c r="A1979" s="23" t="s">
        <v>511</v>
      </c>
      <c r="B1979" s="23">
        <v>24</v>
      </c>
      <c r="C1979" s="23">
        <v>27</v>
      </c>
      <c r="D1979" s="224"/>
      <c r="E1979" s="224"/>
      <c r="F1979" s="224">
        <v>58892</v>
      </c>
      <c r="G1979" s="224">
        <v>33423</v>
      </c>
      <c r="H1979" s="224">
        <v>42295</v>
      </c>
      <c r="I1979" s="224"/>
      <c r="J1979" s="224"/>
      <c r="K1979" s="224"/>
    </row>
    <row r="1980" spans="1:11">
      <c r="A1980" s="23" t="s">
        <v>511</v>
      </c>
      <c r="B1980" s="23">
        <v>24</v>
      </c>
      <c r="C1980" s="23">
        <v>31</v>
      </c>
      <c r="D1980" s="224"/>
      <c r="E1980" s="224">
        <v>4500</v>
      </c>
      <c r="F1980" s="224">
        <v>2398</v>
      </c>
      <c r="G1980" s="224">
        <v>1479</v>
      </c>
      <c r="H1980" s="224"/>
      <c r="I1980" s="224"/>
      <c r="J1980" s="224"/>
      <c r="K1980" s="224"/>
    </row>
    <row r="1981" spans="1:11">
      <c r="A1981" s="23" t="s">
        <v>511</v>
      </c>
      <c r="B1981" s="23">
        <v>29</v>
      </c>
      <c r="C1981" s="23">
        <v>26</v>
      </c>
      <c r="D1981" s="224"/>
      <c r="E1981" s="224"/>
      <c r="F1981" s="224"/>
      <c r="G1981" s="224"/>
      <c r="H1981" s="224"/>
      <c r="I1981" s="224">
        <v>10800</v>
      </c>
      <c r="J1981" s="224"/>
      <c r="K1981" s="224"/>
    </row>
    <row r="1982" spans="1:11">
      <c r="A1982" s="23" t="s">
        <v>511</v>
      </c>
      <c r="B1982" s="23">
        <v>29</v>
      </c>
      <c r="C1982" s="23">
        <v>27</v>
      </c>
      <c r="D1982" s="224"/>
      <c r="E1982" s="224"/>
      <c r="F1982" s="224">
        <v>54386</v>
      </c>
      <c r="G1982" s="224">
        <v>36027</v>
      </c>
      <c r="H1982" s="224"/>
      <c r="I1982" s="224">
        <v>68287</v>
      </c>
      <c r="J1982" s="224"/>
      <c r="K1982" s="224"/>
    </row>
    <row r="1983" spans="1:11">
      <c r="A1983" s="23" t="s">
        <v>32</v>
      </c>
      <c r="B1983" s="23">
        <v>21</v>
      </c>
      <c r="C1983" s="23">
        <v>21</v>
      </c>
      <c r="D1983" s="224"/>
      <c r="E1983" s="224">
        <v>60135</v>
      </c>
      <c r="F1983" s="224">
        <v>29700</v>
      </c>
      <c r="G1983" s="224">
        <v>38146</v>
      </c>
      <c r="H1983" s="224">
        <v>10000</v>
      </c>
      <c r="I1983" s="224">
        <v>10000</v>
      </c>
      <c r="J1983" s="224">
        <v>300</v>
      </c>
      <c r="K1983" s="224"/>
    </row>
    <row r="1984" spans="1:11">
      <c r="A1984" s="23" t="s">
        <v>32</v>
      </c>
      <c r="B1984" s="23">
        <v>21</v>
      </c>
      <c r="C1984" s="23">
        <v>26</v>
      </c>
      <c r="D1984" s="224"/>
      <c r="E1984" s="224">
        <v>104707</v>
      </c>
      <c r="F1984" s="224">
        <v>44975</v>
      </c>
      <c r="G1984" s="224">
        <v>54239</v>
      </c>
      <c r="H1984" s="224">
        <v>5000</v>
      </c>
      <c r="I1984" s="224">
        <v>20000</v>
      </c>
      <c r="J1984" s="224"/>
      <c r="K1984" s="224"/>
    </row>
    <row r="1985" spans="1:11">
      <c r="A1985" s="23" t="s">
        <v>32</v>
      </c>
      <c r="B1985" s="23">
        <v>21</v>
      </c>
      <c r="C1985" s="23">
        <v>27</v>
      </c>
      <c r="D1985" s="224"/>
      <c r="E1985" s="224">
        <v>426311</v>
      </c>
      <c r="F1985" s="224">
        <v>167953</v>
      </c>
      <c r="G1985" s="224">
        <v>284132</v>
      </c>
      <c r="H1985" s="224">
        <v>5000</v>
      </c>
      <c r="I1985" s="224">
        <v>74181</v>
      </c>
      <c r="J1985" s="224">
        <v>300</v>
      </c>
      <c r="K1985" s="224"/>
    </row>
    <row r="1986" spans="1:11">
      <c r="A1986" s="23" t="s">
        <v>32</v>
      </c>
      <c r="B1986" s="23">
        <v>21</v>
      </c>
      <c r="C1986" s="23">
        <v>31</v>
      </c>
      <c r="D1986" s="224"/>
      <c r="E1986" s="224">
        <v>500</v>
      </c>
      <c r="F1986" s="224">
        <v>195</v>
      </c>
      <c r="G1986" s="224">
        <v>60</v>
      </c>
      <c r="H1986" s="224"/>
      <c r="I1986" s="224">
        <v>14500</v>
      </c>
      <c r="J1986" s="224">
        <v>500</v>
      </c>
      <c r="K1986" s="224"/>
    </row>
    <row r="1987" spans="1:11">
      <c r="A1987" s="23" t="s">
        <v>32</v>
      </c>
      <c r="B1987" s="23">
        <v>21</v>
      </c>
      <c r="C1987" s="23">
        <v>32</v>
      </c>
      <c r="D1987" s="224"/>
      <c r="E1987" s="224"/>
      <c r="F1987" s="224"/>
      <c r="G1987" s="224"/>
      <c r="H1987" s="224">
        <v>10000</v>
      </c>
      <c r="I1987" s="224">
        <v>1051</v>
      </c>
      <c r="J1987" s="224"/>
      <c r="K1987" s="224"/>
    </row>
    <row r="1988" spans="1:11">
      <c r="A1988" s="23" t="s">
        <v>32</v>
      </c>
      <c r="B1988" s="23">
        <v>21</v>
      </c>
      <c r="C1988" s="23">
        <v>33</v>
      </c>
      <c r="D1988" s="224"/>
      <c r="E1988" s="224"/>
      <c r="F1988" s="224"/>
      <c r="G1988" s="224"/>
      <c r="H1988" s="224">
        <v>5000</v>
      </c>
      <c r="I1988" s="224"/>
      <c r="J1988" s="224"/>
      <c r="K1988" s="224"/>
    </row>
    <row r="1989" spans="1:11">
      <c r="A1989" s="23" t="s">
        <v>32</v>
      </c>
      <c r="B1989" s="23">
        <v>24</v>
      </c>
      <c r="C1989" s="23">
        <v>21</v>
      </c>
      <c r="D1989" s="224"/>
      <c r="E1989" s="224"/>
      <c r="F1989" s="224"/>
      <c r="G1989" s="224"/>
      <c r="H1989" s="224">
        <v>1500</v>
      </c>
      <c r="I1989" s="224"/>
      <c r="J1989" s="224"/>
      <c r="K1989" s="224"/>
    </row>
    <row r="1990" spans="1:11">
      <c r="A1990" s="23" t="s">
        <v>32</v>
      </c>
      <c r="B1990" s="23">
        <v>24</v>
      </c>
      <c r="C1990" s="23">
        <v>27</v>
      </c>
      <c r="D1990" s="224"/>
      <c r="E1990" s="224">
        <v>53282</v>
      </c>
      <c r="F1990" s="224">
        <v>97002</v>
      </c>
      <c r="G1990" s="224">
        <v>81700</v>
      </c>
      <c r="H1990" s="224">
        <v>5519</v>
      </c>
      <c r="I1990" s="224">
        <v>1000</v>
      </c>
      <c r="J1990" s="224"/>
      <c r="K1990" s="224"/>
    </row>
    <row r="1991" spans="1:11">
      <c r="A1991" s="23" t="s">
        <v>32</v>
      </c>
      <c r="B1991" s="23">
        <v>24</v>
      </c>
      <c r="C1991" s="23">
        <v>31</v>
      </c>
      <c r="D1991" s="224"/>
      <c r="E1991" s="224"/>
      <c r="F1991" s="224"/>
      <c r="G1991" s="224"/>
      <c r="H1991" s="224"/>
      <c r="I1991" s="224">
        <v>1000</v>
      </c>
      <c r="J1991" s="224">
        <v>713</v>
      </c>
      <c r="K1991" s="224"/>
    </row>
    <row r="1992" spans="1:11">
      <c r="A1992" s="23" t="s">
        <v>34</v>
      </c>
      <c r="B1992" s="23">
        <v>21</v>
      </c>
      <c r="C1992" s="23">
        <v>21</v>
      </c>
      <c r="D1992" s="224"/>
      <c r="E1992" s="224">
        <v>148077</v>
      </c>
      <c r="F1992" s="224">
        <v>41278</v>
      </c>
      <c r="G1992" s="224">
        <v>66851</v>
      </c>
      <c r="H1992" s="224">
        <v>1000</v>
      </c>
      <c r="I1992" s="224">
        <v>5300</v>
      </c>
      <c r="J1992" s="224"/>
      <c r="K1992" s="224"/>
    </row>
    <row r="1993" spans="1:11">
      <c r="A1993" s="23" t="s">
        <v>34</v>
      </c>
      <c r="B1993" s="23">
        <v>21</v>
      </c>
      <c r="C1993" s="23">
        <v>26</v>
      </c>
      <c r="D1993" s="224"/>
      <c r="E1993" s="224">
        <v>678153</v>
      </c>
      <c r="F1993" s="224">
        <v>110620</v>
      </c>
      <c r="G1993" s="224">
        <v>301157</v>
      </c>
      <c r="H1993" s="224">
        <v>12000</v>
      </c>
      <c r="I1993" s="224">
        <v>80150</v>
      </c>
      <c r="J1993" s="224"/>
      <c r="K1993" s="224"/>
    </row>
    <row r="1994" spans="1:11">
      <c r="A1994" s="23" t="s">
        <v>34</v>
      </c>
      <c r="B1994" s="23">
        <v>21</v>
      </c>
      <c r="C1994" s="23">
        <v>27</v>
      </c>
      <c r="D1994" s="224"/>
      <c r="E1994" s="224">
        <v>1856801</v>
      </c>
      <c r="F1994" s="224">
        <v>1233155</v>
      </c>
      <c r="G1994" s="224">
        <v>1522073</v>
      </c>
      <c r="H1994" s="224">
        <v>11350</v>
      </c>
      <c r="I1994" s="224">
        <v>810910</v>
      </c>
      <c r="J1994" s="224"/>
      <c r="K1994" s="224"/>
    </row>
    <row r="1995" spans="1:11">
      <c r="A1995" s="23" t="s">
        <v>34</v>
      </c>
      <c r="B1995" s="23">
        <v>21</v>
      </c>
      <c r="C1995" s="23">
        <v>31</v>
      </c>
      <c r="D1995" s="224"/>
      <c r="E1995" s="224">
        <v>108230</v>
      </c>
      <c r="F1995" s="224"/>
      <c r="G1995" s="224">
        <v>36290</v>
      </c>
      <c r="H1995" s="224">
        <v>1500</v>
      </c>
      <c r="I1995" s="224">
        <v>1500</v>
      </c>
      <c r="J1995" s="224"/>
      <c r="K1995" s="224"/>
    </row>
    <row r="1996" spans="1:11">
      <c r="A1996" s="23" t="s">
        <v>34</v>
      </c>
      <c r="B1996" s="23">
        <v>21</v>
      </c>
      <c r="C1996" s="23">
        <v>33</v>
      </c>
      <c r="D1996" s="224"/>
      <c r="E1996" s="224"/>
      <c r="F1996" s="224"/>
      <c r="G1996" s="224"/>
      <c r="H1996" s="224">
        <v>26000</v>
      </c>
      <c r="I1996" s="224"/>
      <c r="J1996" s="224"/>
      <c r="K1996" s="224"/>
    </row>
    <row r="1997" spans="1:11">
      <c r="A1997" s="23" t="s">
        <v>34</v>
      </c>
      <c r="B1997" s="23">
        <v>21</v>
      </c>
      <c r="C1997" s="23">
        <v>34</v>
      </c>
      <c r="D1997" s="224"/>
      <c r="E1997" s="224">
        <v>25129</v>
      </c>
      <c r="F1997" s="224"/>
      <c r="G1997" s="224">
        <v>9805</v>
      </c>
      <c r="H1997" s="224"/>
      <c r="I1997" s="224"/>
      <c r="J1997" s="224"/>
      <c r="K1997" s="224"/>
    </row>
    <row r="1998" spans="1:11">
      <c r="A1998" s="23" t="s">
        <v>34</v>
      </c>
      <c r="B1998" s="23">
        <v>24</v>
      </c>
      <c r="C1998" s="23">
        <v>26</v>
      </c>
      <c r="D1998" s="224"/>
      <c r="E1998" s="224">
        <v>473790</v>
      </c>
      <c r="F1998" s="224"/>
      <c r="G1998" s="224">
        <v>166239</v>
      </c>
      <c r="H1998" s="224"/>
      <c r="I1998" s="224"/>
      <c r="J1998" s="224"/>
      <c r="K1998" s="224"/>
    </row>
    <row r="1999" spans="1:11">
      <c r="A1999" s="23" t="s">
        <v>34</v>
      </c>
      <c r="B1999" s="23">
        <v>24</v>
      </c>
      <c r="C1999" s="23">
        <v>27</v>
      </c>
      <c r="D1999" s="224"/>
      <c r="E1999" s="224"/>
      <c r="F1999" s="224">
        <v>33089</v>
      </c>
      <c r="G1999" s="224">
        <v>19302</v>
      </c>
      <c r="H1999" s="224"/>
      <c r="I1999" s="224"/>
      <c r="J1999" s="224"/>
      <c r="K1999" s="224"/>
    </row>
    <row r="2000" spans="1:11">
      <c r="A2000" s="23" t="s">
        <v>36</v>
      </c>
      <c r="B2000" s="23">
        <v>21</v>
      </c>
      <c r="C2000" s="23">
        <v>26</v>
      </c>
      <c r="D2000" s="224"/>
      <c r="E2000" s="224"/>
      <c r="F2000" s="224"/>
      <c r="G2000" s="224"/>
      <c r="H2000" s="224"/>
      <c r="I2000" s="224">
        <v>14273</v>
      </c>
      <c r="J2000" s="224"/>
      <c r="K2000" s="224"/>
    </row>
    <row r="2001" spans="1:11">
      <c r="A2001" s="23" t="s">
        <v>36</v>
      </c>
      <c r="B2001" s="23">
        <v>21</v>
      </c>
      <c r="C2001" s="23">
        <v>27</v>
      </c>
      <c r="D2001" s="224"/>
      <c r="E2001" s="224">
        <v>59853</v>
      </c>
      <c r="F2001" s="224">
        <v>18109</v>
      </c>
      <c r="G2001" s="224">
        <v>38446</v>
      </c>
      <c r="H2001" s="224"/>
      <c r="I2001" s="224"/>
      <c r="J2001" s="224">
        <v>5000</v>
      </c>
      <c r="K2001" s="224"/>
    </row>
    <row r="2002" spans="1:11">
      <c r="A2002" s="23" t="s">
        <v>36</v>
      </c>
      <c r="B2002" s="23">
        <v>21</v>
      </c>
      <c r="C2002" s="23">
        <v>34</v>
      </c>
      <c r="D2002" s="224"/>
      <c r="E2002" s="224">
        <v>961</v>
      </c>
      <c r="F2002" s="224"/>
      <c r="G2002" s="224">
        <v>235</v>
      </c>
      <c r="H2002" s="224"/>
      <c r="I2002" s="224"/>
      <c r="J2002" s="224"/>
      <c r="K2002" s="224"/>
    </row>
    <row r="2003" spans="1:11">
      <c r="A2003" s="23" t="s">
        <v>36</v>
      </c>
      <c r="B2003" s="23">
        <v>24</v>
      </c>
      <c r="C2003" s="23">
        <v>26</v>
      </c>
      <c r="D2003" s="224"/>
      <c r="E2003" s="224"/>
      <c r="F2003" s="224"/>
      <c r="G2003" s="224"/>
      <c r="H2003" s="224"/>
      <c r="I2003" s="224">
        <v>22837</v>
      </c>
      <c r="J2003" s="224"/>
      <c r="K2003" s="224"/>
    </row>
    <row r="2004" spans="1:11">
      <c r="A2004" s="23" t="s">
        <v>520</v>
      </c>
      <c r="B2004" s="23">
        <v>21</v>
      </c>
      <c r="C2004" s="23">
        <v>29</v>
      </c>
      <c r="D2004" s="224"/>
      <c r="E2004" s="224"/>
      <c r="F2004" s="224"/>
      <c r="G2004" s="224"/>
      <c r="H2004" s="224"/>
      <c r="I2004" s="224">
        <v>374073</v>
      </c>
      <c r="J2004" s="224"/>
      <c r="K2004" s="224"/>
    </row>
    <row r="2005" spans="1:11">
      <c r="A2005" s="23" t="s">
        <v>522</v>
      </c>
      <c r="B2005" s="23">
        <v>21</v>
      </c>
      <c r="C2005" s="23">
        <v>21</v>
      </c>
      <c r="D2005" s="224"/>
      <c r="E2005" s="224">
        <v>10857</v>
      </c>
      <c r="F2005" s="224"/>
      <c r="G2005" s="224">
        <v>3661</v>
      </c>
      <c r="H2005" s="224"/>
      <c r="I2005" s="224"/>
      <c r="J2005" s="224"/>
      <c r="K2005" s="224"/>
    </row>
    <row r="2006" spans="1:11">
      <c r="A2006" s="23" t="s">
        <v>522</v>
      </c>
      <c r="B2006" s="23">
        <v>21</v>
      </c>
      <c r="C2006" s="23">
        <v>26</v>
      </c>
      <c r="D2006" s="224"/>
      <c r="E2006" s="224">
        <v>150928</v>
      </c>
      <c r="F2006" s="224"/>
      <c r="G2006" s="224">
        <v>59120</v>
      </c>
      <c r="H2006" s="224"/>
      <c r="I2006" s="224"/>
      <c r="J2006" s="224"/>
      <c r="K2006" s="224"/>
    </row>
    <row r="2007" spans="1:11">
      <c r="A2007" s="23" t="s">
        <v>522</v>
      </c>
      <c r="B2007" s="23">
        <v>21</v>
      </c>
      <c r="C2007" s="23">
        <v>27</v>
      </c>
      <c r="D2007" s="224"/>
      <c r="E2007" s="224">
        <v>117048</v>
      </c>
      <c r="F2007" s="224">
        <v>198796</v>
      </c>
      <c r="G2007" s="224">
        <v>167157</v>
      </c>
      <c r="H2007" s="224">
        <v>5000</v>
      </c>
      <c r="I2007" s="224">
        <v>10000</v>
      </c>
      <c r="J2007" s="224"/>
      <c r="K2007" s="224"/>
    </row>
    <row r="2008" spans="1:11">
      <c r="A2008" s="23" t="s">
        <v>522</v>
      </c>
      <c r="B2008" s="23">
        <v>24</v>
      </c>
      <c r="C2008" s="23">
        <v>26</v>
      </c>
      <c r="D2008" s="224"/>
      <c r="E2008" s="224">
        <v>76807</v>
      </c>
      <c r="F2008" s="224"/>
      <c r="G2008" s="224">
        <v>29689</v>
      </c>
      <c r="H2008" s="224"/>
      <c r="I2008" s="224">
        <v>9704</v>
      </c>
      <c r="J2008" s="224"/>
      <c r="K2008" s="224"/>
    </row>
    <row r="2009" spans="1:11">
      <c r="A2009" s="23" t="s">
        <v>522</v>
      </c>
      <c r="B2009" s="23">
        <v>29</v>
      </c>
      <c r="C2009" s="23">
        <v>27</v>
      </c>
      <c r="D2009" s="224"/>
      <c r="E2009" s="224"/>
      <c r="F2009" s="224">
        <v>20833</v>
      </c>
      <c r="G2009" s="224">
        <v>12877</v>
      </c>
      <c r="H2009" s="224">
        <v>5000</v>
      </c>
      <c r="I2009" s="224">
        <v>30000</v>
      </c>
      <c r="J2009" s="224"/>
      <c r="K2009" s="224"/>
    </row>
    <row r="2010" spans="1:11">
      <c r="A2010" s="23" t="s">
        <v>485</v>
      </c>
      <c r="B2010" s="23">
        <v>21</v>
      </c>
      <c r="C2010" s="23">
        <v>21</v>
      </c>
      <c r="D2010" s="224"/>
      <c r="E2010" s="224">
        <v>538901</v>
      </c>
      <c r="F2010" s="224">
        <v>169428</v>
      </c>
      <c r="G2010" s="224">
        <v>257343</v>
      </c>
      <c r="H2010" s="224">
        <v>3425</v>
      </c>
      <c r="I2010" s="224">
        <v>1250</v>
      </c>
      <c r="J2010" s="224"/>
      <c r="K2010" s="224"/>
    </row>
    <row r="2011" spans="1:11">
      <c r="A2011" s="23" t="s">
        <v>485</v>
      </c>
      <c r="B2011" s="23">
        <v>21</v>
      </c>
      <c r="C2011" s="23">
        <v>24</v>
      </c>
      <c r="D2011" s="224"/>
      <c r="E2011" s="224"/>
      <c r="F2011" s="224">
        <v>37868</v>
      </c>
      <c r="G2011" s="224">
        <v>14402</v>
      </c>
      <c r="H2011" s="224"/>
      <c r="I2011" s="224"/>
      <c r="J2011" s="224"/>
      <c r="K2011" s="224"/>
    </row>
    <row r="2012" spans="1:11">
      <c r="A2012" s="23" t="s">
        <v>485</v>
      </c>
      <c r="B2012" s="23">
        <v>21</v>
      </c>
      <c r="C2012" s="23">
        <v>26</v>
      </c>
      <c r="D2012" s="224"/>
      <c r="E2012" s="224">
        <v>2055937</v>
      </c>
      <c r="F2012" s="224">
        <v>73509</v>
      </c>
      <c r="G2012" s="224">
        <v>815103</v>
      </c>
      <c r="H2012" s="224">
        <v>29500</v>
      </c>
      <c r="I2012" s="224">
        <v>1118466</v>
      </c>
      <c r="J2012" s="224">
        <v>4000</v>
      </c>
      <c r="K2012" s="224"/>
    </row>
    <row r="2013" spans="1:11">
      <c r="A2013" s="23" t="s">
        <v>485</v>
      </c>
      <c r="B2013" s="23">
        <v>21</v>
      </c>
      <c r="C2013" s="23">
        <v>27</v>
      </c>
      <c r="D2013" s="224">
        <v>8000</v>
      </c>
      <c r="E2013" s="224">
        <v>3588861</v>
      </c>
      <c r="F2013" s="224">
        <v>2363393</v>
      </c>
      <c r="G2013" s="224">
        <v>2871806</v>
      </c>
      <c r="H2013" s="224">
        <v>42000</v>
      </c>
      <c r="I2013" s="224">
        <v>171584</v>
      </c>
      <c r="J2013" s="224">
        <v>1000</v>
      </c>
      <c r="K2013" s="224"/>
    </row>
    <row r="2014" spans="1:11">
      <c r="A2014" s="23" t="s">
        <v>485</v>
      </c>
      <c r="B2014" s="23">
        <v>21</v>
      </c>
      <c r="C2014" s="23">
        <v>31</v>
      </c>
      <c r="D2014" s="224"/>
      <c r="E2014" s="224">
        <v>62002</v>
      </c>
      <c r="F2014" s="224">
        <v>9999</v>
      </c>
      <c r="G2014" s="224">
        <v>16311</v>
      </c>
      <c r="H2014" s="224"/>
      <c r="I2014" s="224">
        <v>16800</v>
      </c>
      <c r="J2014" s="224">
        <v>3000</v>
      </c>
      <c r="K2014" s="224"/>
    </row>
    <row r="2015" spans="1:11">
      <c r="A2015" s="23" t="s">
        <v>485</v>
      </c>
      <c r="B2015" s="23">
        <v>21</v>
      </c>
      <c r="C2015" s="23">
        <v>32</v>
      </c>
      <c r="D2015" s="224"/>
      <c r="E2015" s="224"/>
      <c r="F2015" s="224">
        <v>16467</v>
      </c>
      <c r="G2015" s="224">
        <v>8093</v>
      </c>
      <c r="H2015" s="224">
        <v>9500</v>
      </c>
      <c r="I2015" s="224"/>
      <c r="J2015" s="224"/>
      <c r="K2015" s="224"/>
    </row>
    <row r="2016" spans="1:11">
      <c r="A2016" s="23" t="s">
        <v>485</v>
      </c>
      <c r="B2016" s="23">
        <v>21</v>
      </c>
      <c r="C2016" s="23">
        <v>33</v>
      </c>
      <c r="D2016" s="224"/>
      <c r="E2016" s="224"/>
      <c r="F2016" s="224"/>
      <c r="G2016" s="224"/>
      <c r="H2016" s="224">
        <v>25000</v>
      </c>
      <c r="I2016" s="224"/>
      <c r="J2016" s="224"/>
      <c r="K2016" s="224"/>
    </row>
    <row r="2017" spans="1:11">
      <c r="A2017" s="23" t="s">
        <v>485</v>
      </c>
      <c r="B2017" s="23">
        <v>21</v>
      </c>
      <c r="C2017" s="23">
        <v>34</v>
      </c>
      <c r="D2017" s="224"/>
      <c r="E2017" s="224">
        <v>119149</v>
      </c>
      <c r="F2017" s="224"/>
      <c r="G2017" s="224">
        <v>27567</v>
      </c>
      <c r="H2017" s="224"/>
      <c r="I2017" s="224"/>
      <c r="J2017" s="224"/>
      <c r="K2017" s="224"/>
    </row>
    <row r="2018" spans="1:11">
      <c r="A2018" s="23" t="s">
        <v>485</v>
      </c>
      <c r="B2018" s="23">
        <v>23</v>
      </c>
      <c r="C2018" s="23">
        <v>26</v>
      </c>
      <c r="D2018" s="224"/>
      <c r="E2018" s="224">
        <v>9860</v>
      </c>
      <c r="F2018" s="224"/>
      <c r="G2018" s="224">
        <v>2276</v>
      </c>
      <c r="H2018" s="224"/>
      <c r="I2018" s="224"/>
      <c r="J2018" s="224"/>
      <c r="K2018" s="224"/>
    </row>
    <row r="2019" spans="1:11">
      <c r="A2019" s="23" t="s">
        <v>485</v>
      </c>
      <c r="B2019" s="23">
        <v>23</v>
      </c>
      <c r="C2019" s="23">
        <v>27</v>
      </c>
      <c r="D2019" s="224"/>
      <c r="E2019" s="224"/>
      <c r="F2019" s="224">
        <v>27733</v>
      </c>
      <c r="G2019" s="224">
        <v>11512</v>
      </c>
      <c r="H2019" s="224"/>
      <c r="I2019" s="224"/>
      <c r="J2019" s="224"/>
      <c r="K2019" s="224"/>
    </row>
    <row r="2020" spans="1:11">
      <c r="A2020" s="23" t="s">
        <v>485</v>
      </c>
      <c r="B2020" s="23">
        <v>24</v>
      </c>
      <c r="C2020" s="23">
        <v>21</v>
      </c>
      <c r="D2020" s="224"/>
      <c r="E2020" s="224">
        <v>29292</v>
      </c>
      <c r="F2020" s="224"/>
      <c r="G2020" s="224">
        <v>10014</v>
      </c>
      <c r="H2020" s="224"/>
      <c r="I2020" s="224"/>
      <c r="J2020" s="224"/>
      <c r="K2020" s="224"/>
    </row>
    <row r="2021" spans="1:11">
      <c r="A2021" s="23" t="s">
        <v>485</v>
      </c>
      <c r="B2021" s="23">
        <v>24</v>
      </c>
      <c r="C2021" s="23">
        <v>27</v>
      </c>
      <c r="D2021" s="224"/>
      <c r="E2021" s="224">
        <v>361589</v>
      </c>
      <c r="F2021" s="224">
        <v>569947</v>
      </c>
      <c r="G2021" s="224">
        <v>499687</v>
      </c>
      <c r="H2021" s="224"/>
      <c r="I2021" s="224"/>
      <c r="J2021" s="224"/>
      <c r="K2021" s="224"/>
    </row>
    <row r="2022" spans="1:11">
      <c r="A2022" s="23" t="s">
        <v>485</v>
      </c>
      <c r="B2022" s="23">
        <v>24</v>
      </c>
      <c r="C2022" s="23">
        <v>31</v>
      </c>
      <c r="D2022" s="224"/>
      <c r="E2022" s="224">
        <v>11076</v>
      </c>
      <c r="F2022" s="224"/>
      <c r="G2022" s="224">
        <v>2588</v>
      </c>
      <c r="H2022" s="224"/>
      <c r="I2022" s="224">
        <v>9663</v>
      </c>
      <c r="J2022" s="224"/>
      <c r="K2022" s="224"/>
    </row>
    <row r="2023" spans="1:11">
      <c r="A2023" s="23" t="s">
        <v>298</v>
      </c>
      <c r="B2023" s="23">
        <v>21</v>
      </c>
      <c r="C2023" s="23">
        <v>21</v>
      </c>
      <c r="D2023" s="224"/>
      <c r="E2023" s="224">
        <v>133082</v>
      </c>
      <c r="F2023" s="224">
        <v>39648</v>
      </c>
      <c r="G2023" s="224">
        <v>61717</v>
      </c>
      <c r="H2023" s="224"/>
      <c r="I2023" s="224"/>
      <c r="J2023" s="224">
        <v>3000</v>
      </c>
      <c r="K2023" s="224"/>
    </row>
    <row r="2024" spans="1:11">
      <c r="A2024" s="23" t="s">
        <v>298</v>
      </c>
      <c r="B2024" s="23">
        <v>21</v>
      </c>
      <c r="C2024" s="23">
        <v>23</v>
      </c>
      <c r="D2024" s="224"/>
      <c r="E2024" s="224"/>
      <c r="F2024" s="224">
        <v>13404</v>
      </c>
      <c r="G2024" s="224">
        <v>8911</v>
      </c>
      <c r="H2024" s="224"/>
      <c r="I2024" s="224"/>
      <c r="J2024" s="224"/>
      <c r="K2024" s="224"/>
    </row>
    <row r="2025" spans="1:11">
      <c r="A2025" s="23" t="s">
        <v>298</v>
      </c>
      <c r="B2025" s="23">
        <v>21</v>
      </c>
      <c r="C2025" s="23">
        <v>26</v>
      </c>
      <c r="D2025" s="224"/>
      <c r="E2025" s="224">
        <v>872901</v>
      </c>
      <c r="F2025" s="224">
        <v>234494</v>
      </c>
      <c r="G2025" s="224">
        <v>474107</v>
      </c>
      <c r="H2025" s="224"/>
      <c r="I2025" s="224"/>
      <c r="J2025" s="224"/>
      <c r="K2025" s="224"/>
    </row>
    <row r="2026" spans="1:11">
      <c r="A2026" s="23" t="s">
        <v>298</v>
      </c>
      <c r="B2026" s="23">
        <v>21</v>
      </c>
      <c r="C2026" s="23">
        <v>27</v>
      </c>
      <c r="D2026" s="224"/>
      <c r="E2026" s="224">
        <v>1490902</v>
      </c>
      <c r="F2026" s="224">
        <v>1090418</v>
      </c>
      <c r="G2026" s="224">
        <v>1155763</v>
      </c>
      <c r="H2026" s="224">
        <v>95500</v>
      </c>
      <c r="I2026" s="224">
        <v>100000</v>
      </c>
      <c r="J2026" s="224">
        <v>2550</v>
      </c>
      <c r="K2026" s="224"/>
    </row>
    <row r="2027" spans="1:11">
      <c r="A2027" s="23" t="s">
        <v>298</v>
      </c>
      <c r="B2027" s="23">
        <v>21</v>
      </c>
      <c r="C2027" s="23">
        <v>32</v>
      </c>
      <c r="D2027" s="224"/>
      <c r="E2027" s="224"/>
      <c r="F2027" s="224"/>
      <c r="G2027" s="224"/>
      <c r="H2027" s="224">
        <v>50000</v>
      </c>
      <c r="I2027" s="224"/>
      <c r="J2027" s="224"/>
      <c r="K2027" s="224"/>
    </row>
    <row r="2028" spans="1:11">
      <c r="A2028" s="23" t="s">
        <v>298</v>
      </c>
      <c r="B2028" s="23">
        <v>23</v>
      </c>
      <c r="C2028" s="23">
        <v>27</v>
      </c>
      <c r="D2028" s="224"/>
      <c r="E2028" s="224">
        <v>9795</v>
      </c>
      <c r="F2028" s="224"/>
      <c r="G2028" s="224">
        <v>3466</v>
      </c>
      <c r="H2028" s="224">
        <v>96877</v>
      </c>
      <c r="I2028" s="224">
        <v>64584</v>
      </c>
      <c r="J2028" s="224"/>
      <c r="K2028" s="224"/>
    </row>
    <row r="2029" spans="1:11">
      <c r="A2029" s="23" t="s">
        <v>298</v>
      </c>
      <c r="B2029" s="23">
        <v>24</v>
      </c>
      <c r="C2029" s="23">
        <v>27</v>
      </c>
      <c r="D2029" s="224"/>
      <c r="E2029" s="224">
        <v>429480</v>
      </c>
      <c r="F2029" s="224">
        <v>69310</v>
      </c>
      <c r="G2029" s="224">
        <v>209630</v>
      </c>
      <c r="H2029" s="224">
        <v>19631</v>
      </c>
      <c r="I2029" s="224"/>
      <c r="J2029" s="224"/>
      <c r="K2029" s="224"/>
    </row>
    <row r="2030" spans="1:11">
      <c r="A2030" s="23" t="s">
        <v>299</v>
      </c>
      <c r="B2030" s="23">
        <v>21</v>
      </c>
      <c r="C2030" s="23">
        <v>21</v>
      </c>
      <c r="D2030" s="224"/>
      <c r="E2030" s="224">
        <v>223311</v>
      </c>
      <c r="F2030" s="224">
        <v>173181</v>
      </c>
      <c r="G2030" s="224">
        <v>114981</v>
      </c>
      <c r="H2030" s="224"/>
      <c r="I2030" s="224"/>
      <c r="J2030" s="224"/>
      <c r="K2030" s="224"/>
    </row>
    <row r="2031" spans="1:11">
      <c r="A2031" s="23" t="s">
        <v>299</v>
      </c>
      <c r="B2031" s="23">
        <v>21</v>
      </c>
      <c r="C2031" s="23">
        <v>26</v>
      </c>
      <c r="D2031" s="224"/>
      <c r="E2031" s="224">
        <v>924614</v>
      </c>
      <c r="F2031" s="224">
        <v>423579</v>
      </c>
      <c r="G2031" s="224">
        <v>599376</v>
      </c>
      <c r="H2031" s="224"/>
      <c r="I2031" s="224"/>
      <c r="J2031" s="224"/>
      <c r="K2031" s="224"/>
    </row>
    <row r="2032" spans="1:11">
      <c r="A2032" s="23" t="s">
        <v>299</v>
      </c>
      <c r="B2032" s="23">
        <v>21</v>
      </c>
      <c r="C2032" s="23">
        <v>27</v>
      </c>
      <c r="D2032" s="224"/>
      <c r="E2032" s="224">
        <v>1929562</v>
      </c>
      <c r="F2032" s="224">
        <v>1164370</v>
      </c>
      <c r="G2032" s="224">
        <v>1444426</v>
      </c>
      <c r="H2032" s="224">
        <v>85950</v>
      </c>
      <c r="I2032" s="224">
        <v>1278720</v>
      </c>
      <c r="J2032" s="224"/>
      <c r="K2032" s="224"/>
    </row>
    <row r="2033" spans="1:11">
      <c r="A2033" s="23" t="s">
        <v>299</v>
      </c>
      <c r="B2033" s="23">
        <v>21</v>
      </c>
      <c r="C2033" s="23">
        <v>31</v>
      </c>
      <c r="D2033" s="224">
        <v>2000</v>
      </c>
      <c r="E2033" s="224">
        <v>175391</v>
      </c>
      <c r="F2033" s="224">
        <v>1788</v>
      </c>
      <c r="G2033" s="224">
        <v>40598</v>
      </c>
      <c r="H2033" s="224"/>
      <c r="I2033" s="224"/>
      <c r="J2033" s="224">
        <v>10000</v>
      </c>
      <c r="K2033" s="224"/>
    </row>
    <row r="2034" spans="1:11">
      <c r="A2034" s="23" t="s">
        <v>299</v>
      </c>
      <c r="B2034" s="23">
        <v>24</v>
      </c>
      <c r="C2034" s="23">
        <v>26</v>
      </c>
      <c r="D2034" s="224"/>
      <c r="E2034" s="224">
        <v>171575</v>
      </c>
      <c r="F2034" s="224"/>
      <c r="G2034" s="224">
        <v>62031</v>
      </c>
      <c r="H2034" s="224"/>
      <c r="I2034" s="224"/>
      <c r="J2034" s="224"/>
      <c r="K2034" s="224"/>
    </row>
    <row r="2035" spans="1:11">
      <c r="A2035" s="23" t="s">
        <v>299</v>
      </c>
      <c r="B2035" s="23">
        <v>24</v>
      </c>
      <c r="C2035" s="23">
        <v>27</v>
      </c>
      <c r="D2035" s="224"/>
      <c r="E2035" s="224">
        <v>598130</v>
      </c>
      <c r="F2035" s="224">
        <v>19467</v>
      </c>
      <c r="G2035" s="224">
        <v>225233</v>
      </c>
      <c r="H2035" s="224"/>
      <c r="I2035" s="224"/>
      <c r="J2035" s="224"/>
      <c r="K2035" s="224"/>
    </row>
    <row r="2036" spans="1:11">
      <c r="A2036" s="23" t="s">
        <v>299</v>
      </c>
      <c r="B2036" s="23">
        <v>24</v>
      </c>
      <c r="C2036" s="23">
        <v>31</v>
      </c>
      <c r="D2036" s="224"/>
      <c r="E2036" s="224">
        <v>48482</v>
      </c>
      <c r="F2036" s="224"/>
      <c r="G2036" s="224">
        <v>10866</v>
      </c>
      <c r="H2036" s="224"/>
      <c r="I2036" s="224"/>
      <c r="J2036" s="224"/>
      <c r="K2036" s="224"/>
    </row>
    <row r="2037" spans="1:11">
      <c r="A2037" s="23" t="s">
        <v>1311</v>
      </c>
      <c r="B2037" s="23">
        <v>21</v>
      </c>
      <c r="C2037" s="23">
        <v>26</v>
      </c>
      <c r="D2037" s="224"/>
      <c r="E2037" s="224"/>
      <c r="F2037" s="224"/>
      <c r="G2037" s="224"/>
      <c r="H2037" s="224">
        <v>8000</v>
      </c>
      <c r="I2037" s="224">
        <v>10000</v>
      </c>
      <c r="J2037" s="224"/>
      <c r="K2037" s="224"/>
    </row>
    <row r="2038" spans="1:11">
      <c r="A2038" s="23" t="s">
        <v>1311</v>
      </c>
      <c r="B2038" s="23">
        <v>21</v>
      </c>
      <c r="C2038" s="23">
        <v>27</v>
      </c>
      <c r="D2038" s="224"/>
      <c r="E2038" s="224">
        <v>63000</v>
      </c>
      <c r="F2038" s="224"/>
      <c r="G2038" s="224">
        <v>26026</v>
      </c>
      <c r="H2038" s="224"/>
      <c r="I2038" s="224"/>
      <c r="J2038" s="224"/>
      <c r="K2038" s="224"/>
    </row>
    <row r="2039" spans="1:11">
      <c r="A2039" s="23" t="s">
        <v>1311</v>
      </c>
      <c r="B2039" s="23">
        <v>24</v>
      </c>
      <c r="C2039" s="23">
        <v>27</v>
      </c>
      <c r="D2039" s="224"/>
      <c r="E2039" s="224">
        <v>7000</v>
      </c>
      <c r="F2039" s="224"/>
      <c r="G2039" s="224">
        <v>2892</v>
      </c>
      <c r="H2039" s="224"/>
      <c r="I2039" s="224"/>
      <c r="J2039" s="224"/>
      <c r="K2039" s="224"/>
    </row>
    <row r="2040" spans="1:11">
      <c r="A2040" s="23" t="s">
        <v>300</v>
      </c>
      <c r="B2040" s="23">
        <v>21</v>
      </c>
      <c r="C2040" s="23">
        <v>27</v>
      </c>
      <c r="D2040" s="224"/>
      <c r="E2040" s="224">
        <v>143688</v>
      </c>
      <c r="F2040" s="224">
        <v>153608</v>
      </c>
      <c r="G2040" s="224">
        <v>153692</v>
      </c>
      <c r="H2040" s="224">
        <v>1601</v>
      </c>
      <c r="I2040" s="224">
        <v>166700</v>
      </c>
      <c r="J2040" s="224"/>
      <c r="K2040" s="224"/>
    </row>
    <row r="2041" spans="1:11">
      <c r="A2041" s="23" t="s">
        <v>300</v>
      </c>
      <c r="B2041" s="23">
        <v>21</v>
      </c>
      <c r="C2041" s="23">
        <v>31</v>
      </c>
      <c r="D2041" s="224"/>
      <c r="E2041" s="224"/>
      <c r="F2041" s="224"/>
      <c r="G2041" s="224"/>
      <c r="H2041" s="224"/>
      <c r="I2041" s="224">
        <v>250</v>
      </c>
      <c r="J2041" s="224">
        <v>300</v>
      </c>
      <c r="K2041" s="224"/>
    </row>
    <row r="2042" spans="1:11">
      <c r="A2042" s="23" t="s">
        <v>300</v>
      </c>
      <c r="B2042" s="23">
        <v>24</v>
      </c>
      <c r="C2042" s="23">
        <v>26</v>
      </c>
      <c r="D2042" s="224"/>
      <c r="E2042" s="224"/>
      <c r="F2042" s="224"/>
      <c r="G2042" s="224"/>
      <c r="H2042" s="224"/>
      <c r="I2042" s="224">
        <v>147494</v>
      </c>
      <c r="J2042" s="224"/>
      <c r="K2042" s="224"/>
    </row>
    <row r="2043" spans="1:11">
      <c r="A2043" s="23" t="s">
        <v>300</v>
      </c>
      <c r="B2043" s="23">
        <v>24</v>
      </c>
      <c r="C2043" s="23">
        <v>27</v>
      </c>
      <c r="D2043" s="224"/>
      <c r="E2043" s="224"/>
      <c r="F2043" s="224"/>
      <c r="G2043" s="224"/>
      <c r="H2043" s="224">
        <v>6489</v>
      </c>
      <c r="I2043" s="224"/>
      <c r="J2043" s="224"/>
      <c r="K2043" s="224"/>
    </row>
    <row r="2044" spans="1:11">
      <c r="A2044" s="23" t="s">
        <v>302</v>
      </c>
      <c r="B2044" s="23">
        <v>21</v>
      </c>
      <c r="C2044" s="23">
        <v>21</v>
      </c>
      <c r="D2044" s="224">
        <v>5000</v>
      </c>
      <c r="E2044" s="224">
        <v>222660</v>
      </c>
      <c r="F2044" s="224">
        <v>72740</v>
      </c>
      <c r="G2044" s="224">
        <v>98632</v>
      </c>
      <c r="H2044" s="224">
        <v>2000</v>
      </c>
      <c r="I2044" s="224">
        <v>1000</v>
      </c>
      <c r="J2044" s="224">
        <v>500</v>
      </c>
      <c r="K2044" s="224"/>
    </row>
    <row r="2045" spans="1:11">
      <c r="A2045" s="23" t="s">
        <v>302</v>
      </c>
      <c r="B2045" s="23">
        <v>21</v>
      </c>
      <c r="C2045" s="23">
        <v>24</v>
      </c>
      <c r="D2045" s="224"/>
      <c r="E2045" s="224">
        <v>48852</v>
      </c>
      <c r="F2045" s="224"/>
      <c r="G2045" s="224">
        <v>19178</v>
      </c>
      <c r="H2045" s="224"/>
      <c r="I2045" s="224"/>
      <c r="J2045" s="224"/>
      <c r="K2045" s="224"/>
    </row>
    <row r="2046" spans="1:11">
      <c r="A2046" s="23" t="s">
        <v>302</v>
      </c>
      <c r="B2046" s="23">
        <v>21</v>
      </c>
      <c r="C2046" s="23">
        <v>25</v>
      </c>
      <c r="D2046" s="224"/>
      <c r="E2046" s="224"/>
      <c r="F2046" s="224">
        <v>181677</v>
      </c>
      <c r="G2046" s="224">
        <v>163004</v>
      </c>
      <c r="H2046" s="224"/>
      <c r="I2046" s="224"/>
      <c r="J2046" s="224"/>
      <c r="K2046" s="224"/>
    </row>
    <row r="2047" spans="1:11">
      <c r="A2047" s="23" t="s">
        <v>302</v>
      </c>
      <c r="B2047" s="23">
        <v>21</v>
      </c>
      <c r="C2047" s="23">
        <v>26</v>
      </c>
      <c r="D2047" s="224"/>
      <c r="E2047" s="224">
        <v>1118693</v>
      </c>
      <c r="F2047" s="224"/>
      <c r="G2047" s="224">
        <v>430134</v>
      </c>
      <c r="H2047" s="224">
        <v>18000</v>
      </c>
      <c r="I2047" s="224">
        <v>257100</v>
      </c>
      <c r="J2047" s="224">
        <v>1500</v>
      </c>
      <c r="K2047" s="224"/>
    </row>
    <row r="2048" spans="1:11">
      <c r="A2048" s="23" t="s">
        <v>302</v>
      </c>
      <c r="B2048" s="23">
        <v>21</v>
      </c>
      <c r="C2048" s="23">
        <v>27</v>
      </c>
      <c r="D2048" s="224">
        <v>1800</v>
      </c>
      <c r="E2048" s="224">
        <v>2175224</v>
      </c>
      <c r="F2048" s="224">
        <v>1439197</v>
      </c>
      <c r="G2048" s="224">
        <v>1614973</v>
      </c>
      <c r="H2048" s="224">
        <v>10550</v>
      </c>
      <c r="I2048" s="224">
        <v>26598</v>
      </c>
      <c r="J2048" s="224">
        <v>30</v>
      </c>
      <c r="K2048" s="224"/>
    </row>
    <row r="2049" spans="1:11">
      <c r="A2049" s="23" t="s">
        <v>302</v>
      </c>
      <c r="B2049" s="23">
        <v>21</v>
      </c>
      <c r="C2049" s="23">
        <v>29</v>
      </c>
      <c r="D2049" s="224"/>
      <c r="E2049" s="224"/>
      <c r="F2049" s="224"/>
      <c r="G2049" s="224"/>
      <c r="H2049" s="224"/>
      <c r="I2049" s="224">
        <v>41500</v>
      </c>
      <c r="J2049" s="224"/>
      <c r="K2049" s="224"/>
    </row>
    <row r="2050" spans="1:11">
      <c r="A2050" s="23" t="s">
        <v>302</v>
      </c>
      <c r="B2050" s="23">
        <v>21</v>
      </c>
      <c r="C2050" s="23">
        <v>31</v>
      </c>
      <c r="D2050" s="224"/>
      <c r="E2050" s="224">
        <v>127372</v>
      </c>
      <c r="F2050" s="224"/>
      <c r="G2050" s="224">
        <v>29736</v>
      </c>
      <c r="H2050" s="224">
        <v>1500</v>
      </c>
      <c r="I2050" s="224">
        <v>36300</v>
      </c>
      <c r="J2050" s="224">
        <v>1500</v>
      </c>
      <c r="K2050" s="224"/>
    </row>
    <row r="2051" spans="1:11">
      <c r="A2051" s="23" t="s">
        <v>302</v>
      </c>
      <c r="B2051" s="23">
        <v>21</v>
      </c>
      <c r="C2051" s="23">
        <v>33</v>
      </c>
      <c r="D2051" s="224"/>
      <c r="E2051" s="224"/>
      <c r="F2051" s="224"/>
      <c r="G2051" s="224"/>
      <c r="H2051" s="224">
        <v>26700</v>
      </c>
      <c r="I2051" s="224"/>
      <c r="J2051" s="224"/>
      <c r="K2051" s="224"/>
    </row>
    <row r="2052" spans="1:11">
      <c r="A2052" s="23" t="s">
        <v>302</v>
      </c>
      <c r="B2052" s="23">
        <v>21</v>
      </c>
      <c r="C2052" s="23">
        <v>34</v>
      </c>
      <c r="D2052" s="224"/>
      <c r="E2052" s="224">
        <v>78457</v>
      </c>
      <c r="F2052" s="224"/>
      <c r="G2052" s="224">
        <v>30619</v>
      </c>
      <c r="H2052" s="224"/>
      <c r="I2052" s="224"/>
      <c r="J2052" s="224"/>
      <c r="K2052" s="224"/>
    </row>
    <row r="2053" spans="1:11">
      <c r="A2053" s="23" t="s">
        <v>302</v>
      </c>
      <c r="B2053" s="23">
        <v>24</v>
      </c>
      <c r="C2053" s="23">
        <v>26</v>
      </c>
      <c r="D2053" s="224"/>
      <c r="E2053" s="224">
        <v>84351</v>
      </c>
      <c r="F2053" s="224"/>
      <c r="G2053" s="224">
        <v>31867</v>
      </c>
      <c r="H2053" s="224"/>
      <c r="I2053" s="224"/>
      <c r="J2053" s="224"/>
      <c r="K2053" s="224"/>
    </row>
    <row r="2054" spans="1:11">
      <c r="A2054" s="23" t="s">
        <v>302</v>
      </c>
      <c r="B2054" s="23">
        <v>24</v>
      </c>
      <c r="C2054" s="23">
        <v>27</v>
      </c>
      <c r="D2054" s="224"/>
      <c r="E2054" s="224">
        <v>109019</v>
      </c>
      <c r="F2054" s="224">
        <v>293026</v>
      </c>
      <c r="G2054" s="224">
        <v>217536</v>
      </c>
      <c r="H2054" s="224">
        <v>56025</v>
      </c>
      <c r="I2054" s="224"/>
      <c r="J2054" s="224"/>
      <c r="K2054" s="224"/>
    </row>
    <row r="2055" spans="1:11">
      <c r="A2055" s="23" t="s">
        <v>302</v>
      </c>
      <c r="B2055" s="23">
        <v>24</v>
      </c>
      <c r="C2055" s="23">
        <v>31</v>
      </c>
      <c r="D2055" s="224"/>
      <c r="E2055" s="224">
        <v>4839</v>
      </c>
      <c r="F2055" s="224"/>
      <c r="G2055" s="224">
        <v>1128</v>
      </c>
      <c r="H2055" s="224"/>
      <c r="I2055" s="224"/>
      <c r="J2055" s="224"/>
      <c r="K2055" s="224"/>
    </row>
    <row r="2056" spans="1:11">
      <c r="A2056" s="23" t="s">
        <v>302</v>
      </c>
      <c r="B2056" s="23">
        <v>26</v>
      </c>
      <c r="C2056" s="23">
        <v>26</v>
      </c>
      <c r="D2056" s="224"/>
      <c r="E2056" s="224">
        <v>16681</v>
      </c>
      <c r="F2056" s="224"/>
      <c r="G2056" s="224">
        <v>6354</v>
      </c>
      <c r="H2056" s="224"/>
      <c r="I2056" s="224"/>
      <c r="J2056" s="224"/>
      <c r="K2056" s="224"/>
    </row>
    <row r="2057" spans="1:11">
      <c r="A2057" s="23" t="s">
        <v>302</v>
      </c>
      <c r="B2057" s="23">
        <v>26</v>
      </c>
      <c r="C2057" s="23">
        <v>27</v>
      </c>
      <c r="D2057" s="224"/>
      <c r="E2057" s="224">
        <v>65450</v>
      </c>
      <c r="F2057" s="224">
        <v>35389</v>
      </c>
      <c r="G2057" s="224">
        <v>47417</v>
      </c>
      <c r="H2057" s="224"/>
      <c r="I2057" s="224"/>
      <c r="J2057" s="224"/>
      <c r="K2057" s="224"/>
    </row>
    <row r="2058" spans="1:11">
      <c r="A2058" s="23" t="s">
        <v>302</v>
      </c>
      <c r="B2058" s="23">
        <v>26</v>
      </c>
      <c r="C2058" s="23">
        <v>31</v>
      </c>
      <c r="D2058" s="224"/>
      <c r="E2058" s="224">
        <v>2644</v>
      </c>
      <c r="F2058" s="224"/>
      <c r="G2058" s="224">
        <v>620</v>
      </c>
      <c r="H2058" s="224"/>
      <c r="I2058" s="224"/>
      <c r="J2058" s="224"/>
      <c r="K2058" s="224"/>
    </row>
    <row r="2059" spans="1:11">
      <c r="A2059" s="23" t="s">
        <v>304</v>
      </c>
      <c r="B2059" s="23">
        <v>21</v>
      </c>
      <c r="C2059" s="23">
        <v>29</v>
      </c>
      <c r="D2059" s="224"/>
      <c r="E2059" s="224"/>
      <c r="F2059" s="224"/>
      <c r="G2059" s="224"/>
      <c r="H2059" s="224"/>
      <c r="I2059" s="224">
        <v>1646615</v>
      </c>
      <c r="J2059" s="224"/>
      <c r="K2059" s="224"/>
    </row>
    <row r="2060" spans="1:11">
      <c r="A2060" s="23" t="s">
        <v>1161</v>
      </c>
      <c r="B2060" s="23">
        <v>21</v>
      </c>
      <c r="C2060" s="23">
        <v>26</v>
      </c>
      <c r="D2060" s="224"/>
      <c r="E2060" s="224"/>
      <c r="F2060" s="224"/>
      <c r="G2060" s="224"/>
      <c r="H2060" s="224"/>
      <c r="I2060" s="224">
        <v>100000</v>
      </c>
      <c r="J2060" s="224"/>
      <c r="K2060" s="224"/>
    </row>
    <row r="2061" spans="1:11">
      <c r="A2061" s="23" t="s">
        <v>1161</v>
      </c>
      <c r="B2061" s="23">
        <v>21</v>
      </c>
      <c r="C2061" s="23">
        <v>27</v>
      </c>
      <c r="D2061" s="224"/>
      <c r="E2061" s="224">
        <v>133833</v>
      </c>
      <c r="F2061" s="224"/>
      <c r="G2061" s="224">
        <v>52504</v>
      </c>
      <c r="H2061" s="224"/>
      <c r="I2061" s="224"/>
      <c r="J2061" s="224"/>
      <c r="K2061" s="224"/>
    </row>
    <row r="2062" spans="1:11">
      <c r="A2062" s="23" t="s">
        <v>1161</v>
      </c>
      <c r="B2062" s="23">
        <v>24</v>
      </c>
      <c r="C2062" s="23">
        <v>27</v>
      </c>
      <c r="D2062" s="224"/>
      <c r="E2062" s="224">
        <v>23618</v>
      </c>
      <c r="F2062" s="224"/>
      <c r="G2062" s="224">
        <v>9265</v>
      </c>
      <c r="H2062" s="224"/>
      <c r="I2062" s="224"/>
      <c r="J2062" s="224"/>
      <c r="K2062" s="224"/>
    </row>
    <row r="2063" spans="1:11">
      <c r="A2063" s="23" t="s">
        <v>306</v>
      </c>
      <c r="B2063" s="23">
        <v>21</v>
      </c>
      <c r="C2063" s="23">
        <v>27</v>
      </c>
      <c r="D2063" s="224"/>
      <c r="E2063" s="224">
        <v>162805</v>
      </c>
      <c r="F2063" s="224">
        <v>157652</v>
      </c>
      <c r="G2063" s="224">
        <v>158006</v>
      </c>
      <c r="H2063" s="224">
        <v>3800</v>
      </c>
      <c r="I2063" s="224"/>
      <c r="J2063" s="224"/>
      <c r="K2063" s="224"/>
    </row>
    <row r="2064" spans="1:11">
      <c r="A2064" s="23" t="s">
        <v>306</v>
      </c>
      <c r="B2064" s="23">
        <v>24</v>
      </c>
      <c r="C2064" s="23">
        <v>26</v>
      </c>
      <c r="D2064" s="224"/>
      <c r="E2064" s="224"/>
      <c r="F2064" s="224"/>
      <c r="G2064" s="224"/>
      <c r="H2064" s="224"/>
      <c r="I2064" s="224">
        <v>50000</v>
      </c>
      <c r="J2064" s="224"/>
      <c r="K2064" s="224"/>
    </row>
    <row r="2065" spans="1:11">
      <c r="A2065" s="23" t="s">
        <v>308</v>
      </c>
      <c r="B2065" s="23">
        <v>21</v>
      </c>
      <c r="C2065" s="23">
        <v>21</v>
      </c>
      <c r="D2065" s="224"/>
      <c r="E2065" s="224">
        <v>19829</v>
      </c>
      <c r="F2065" s="224"/>
      <c r="G2065" s="224">
        <v>7074</v>
      </c>
      <c r="H2065" s="224"/>
      <c r="I2065" s="224"/>
      <c r="J2065" s="224"/>
      <c r="K2065" s="224"/>
    </row>
    <row r="2066" spans="1:11">
      <c r="A2066" s="23" t="s">
        <v>308</v>
      </c>
      <c r="B2066" s="23">
        <v>21</v>
      </c>
      <c r="C2066" s="23">
        <v>27</v>
      </c>
      <c r="D2066" s="224"/>
      <c r="E2066" s="224">
        <v>270297</v>
      </c>
      <c r="F2066" s="224">
        <v>148788</v>
      </c>
      <c r="G2066" s="224">
        <v>206943</v>
      </c>
      <c r="H2066" s="224">
        <v>1000</v>
      </c>
      <c r="I2066" s="224">
        <v>30000</v>
      </c>
      <c r="J2066" s="224"/>
      <c r="K2066" s="224"/>
    </row>
    <row r="2067" spans="1:11">
      <c r="A2067" s="23" t="s">
        <v>308</v>
      </c>
      <c r="B2067" s="23">
        <v>24</v>
      </c>
      <c r="C2067" s="23">
        <v>27</v>
      </c>
      <c r="D2067" s="224"/>
      <c r="E2067" s="224">
        <v>1806</v>
      </c>
      <c r="F2067" s="224">
        <v>7836</v>
      </c>
      <c r="G2067" s="224">
        <v>15657</v>
      </c>
      <c r="H2067" s="224"/>
      <c r="I2067" s="224">
        <v>55072</v>
      </c>
      <c r="J2067" s="224"/>
      <c r="K2067" s="224"/>
    </row>
    <row r="2068" spans="1:11">
      <c r="A2068" s="23" t="s">
        <v>310</v>
      </c>
      <c r="B2068" s="23">
        <v>21</v>
      </c>
      <c r="C2068" s="23">
        <v>21</v>
      </c>
      <c r="D2068" s="224"/>
      <c r="E2068" s="224">
        <v>23534</v>
      </c>
      <c r="F2068" s="224"/>
      <c r="G2068" s="224">
        <v>19876</v>
      </c>
      <c r="H2068" s="224"/>
      <c r="I2068" s="224"/>
      <c r="J2068" s="224"/>
      <c r="K2068" s="224"/>
    </row>
    <row r="2069" spans="1:11">
      <c r="A2069" s="23" t="s">
        <v>310</v>
      </c>
      <c r="B2069" s="23">
        <v>21</v>
      </c>
      <c r="C2069" s="23">
        <v>26</v>
      </c>
      <c r="D2069" s="224"/>
      <c r="E2069" s="224"/>
      <c r="F2069" s="224"/>
      <c r="G2069" s="224"/>
      <c r="H2069" s="224">
        <v>50000</v>
      </c>
      <c r="I2069" s="224"/>
      <c r="J2069" s="224"/>
      <c r="K2069" s="224"/>
    </row>
    <row r="2070" spans="1:11">
      <c r="A2070" s="23" t="s">
        <v>310</v>
      </c>
      <c r="B2070" s="23">
        <v>21</v>
      </c>
      <c r="C2070" s="23">
        <v>27</v>
      </c>
      <c r="D2070" s="224"/>
      <c r="E2070" s="224">
        <v>79316</v>
      </c>
      <c r="F2070" s="224">
        <v>55534</v>
      </c>
      <c r="G2070" s="224">
        <v>64162</v>
      </c>
      <c r="H2070" s="224">
        <v>40000</v>
      </c>
      <c r="I2070" s="224">
        <v>5000</v>
      </c>
      <c r="J2070" s="224"/>
      <c r="K2070" s="224"/>
    </row>
    <row r="2071" spans="1:11">
      <c r="A2071" s="23" t="s">
        <v>310</v>
      </c>
      <c r="B2071" s="23">
        <v>21</v>
      </c>
      <c r="C2071" s="23">
        <v>33</v>
      </c>
      <c r="D2071" s="224"/>
      <c r="E2071" s="224"/>
      <c r="F2071" s="224"/>
      <c r="G2071" s="224"/>
      <c r="H2071" s="224">
        <v>2000</v>
      </c>
      <c r="I2071" s="224"/>
      <c r="J2071" s="224"/>
      <c r="K2071" s="224"/>
    </row>
    <row r="2072" spans="1:11">
      <c r="A2072" s="23" t="s">
        <v>310</v>
      </c>
      <c r="B2072" s="23">
        <v>21</v>
      </c>
      <c r="C2072" s="23">
        <v>34</v>
      </c>
      <c r="D2072" s="224"/>
      <c r="E2072" s="224">
        <v>2204</v>
      </c>
      <c r="F2072" s="224"/>
      <c r="G2072" s="224">
        <v>188</v>
      </c>
      <c r="H2072" s="224"/>
      <c r="I2072" s="224">
        <v>500</v>
      </c>
      <c r="J2072" s="224"/>
      <c r="K2072" s="224"/>
    </row>
    <row r="2073" spans="1:11">
      <c r="A2073" s="23" t="s">
        <v>310</v>
      </c>
      <c r="B2073" s="23">
        <v>24</v>
      </c>
      <c r="C2073" s="23">
        <v>26</v>
      </c>
      <c r="D2073" s="224"/>
      <c r="E2073" s="224"/>
      <c r="F2073" s="224"/>
      <c r="G2073" s="224"/>
      <c r="H2073" s="224">
        <v>2750</v>
      </c>
      <c r="I2073" s="224">
        <v>37100</v>
      </c>
      <c r="J2073" s="224">
        <v>2000</v>
      </c>
      <c r="K2073" s="224"/>
    </row>
    <row r="2074" spans="1:11">
      <c r="A2074" s="23" t="s">
        <v>310</v>
      </c>
      <c r="B2074" s="23">
        <v>24</v>
      </c>
      <c r="C2074" s="23">
        <v>27</v>
      </c>
      <c r="D2074" s="224"/>
      <c r="E2074" s="224"/>
      <c r="F2074" s="224"/>
      <c r="G2074" s="224"/>
      <c r="H2074" s="224"/>
      <c r="I2074" s="224">
        <v>1200</v>
      </c>
      <c r="J2074" s="224"/>
      <c r="K2074" s="224"/>
    </row>
    <row r="2075" spans="1:11">
      <c r="A2075" s="23" t="s">
        <v>312</v>
      </c>
      <c r="B2075" s="23">
        <v>21</v>
      </c>
      <c r="C2075" s="23">
        <v>21</v>
      </c>
      <c r="D2075" s="224"/>
      <c r="E2075" s="224">
        <v>55388</v>
      </c>
      <c r="F2075" s="224"/>
      <c r="G2075" s="224">
        <v>18699</v>
      </c>
      <c r="H2075" s="224"/>
      <c r="I2075" s="224"/>
      <c r="J2075" s="224"/>
      <c r="K2075" s="224"/>
    </row>
    <row r="2076" spans="1:11">
      <c r="A2076" s="23" t="s">
        <v>312</v>
      </c>
      <c r="B2076" s="23">
        <v>21</v>
      </c>
      <c r="C2076" s="23">
        <v>25</v>
      </c>
      <c r="D2076" s="224"/>
      <c r="E2076" s="224"/>
      <c r="F2076" s="224">
        <v>12300</v>
      </c>
      <c r="G2076" s="224">
        <v>15327</v>
      </c>
      <c r="H2076" s="224"/>
      <c r="I2076" s="224"/>
      <c r="J2076" s="224"/>
      <c r="K2076" s="224"/>
    </row>
    <row r="2077" spans="1:11">
      <c r="A2077" s="23" t="s">
        <v>312</v>
      </c>
      <c r="B2077" s="23">
        <v>21</v>
      </c>
      <c r="C2077" s="23">
        <v>27</v>
      </c>
      <c r="D2077" s="224"/>
      <c r="E2077" s="224">
        <v>322303</v>
      </c>
      <c r="F2077" s="224">
        <v>330055</v>
      </c>
      <c r="G2077" s="224">
        <v>368483</v>
      </c>
      <c r="H2077" s="224">
        <v>3200</v>
      </c>
      <c r="I2077" s="224">
        <v>160000</v>
      </c>
      <c r="J2077" s="224"/>
      <c r="K2077" s="224"/>
    </row>
    <row r="2078" spans="1:11">
      <c r="A2078" s="23" t="s">
        <v>312</v>
      </c>
      <c r="B2078" s="23">
        <v>21</v>
      </c>
      <c r="C2078" s="23">
        <v>29</v>
      </c>
      <c r="D2078" s="224"/>
      <c r="E2078" s="224"/>
      <c r="F2078" s="224"/>
      <c r="G2078" s="224"/>
      <c r="H2078" s="224"/>
      <c r="I2078" s="224">
        <v>150000</v>
      </c>
      <c r="J2078" s="224"/>
      <c r="K2078" s="224"/>
    </row>
    <row r="2079" spans="1:11">
      <c r="A2079" s="23" t="s">
        <v>312</v>
      </c>
      <c r="B2079" s="23">
        <v>24</v>
      </c>
      <c r="C2079" s="23">
        <v>26</v>
      </c>
      <c r="D2079" s="224"/>
      <c r="E2079" s="224"/>
      <c r="F2079" s="224"/>
      <c r="G2079" s="224"/>
      <c r="H2079" s="224"/>
      <c r="I2079" s="224">
        <v>167553</v>
      </c>
      <c r="J2079" s="224"/>
      <c r="K2079" s="224"/>
    </row>
    <row r="2080" spans="1:11">
      <c r="A2080" s="23" t="s">
        <v>173</v>
      </c>
      <c r="B2080" s="23">
        <v>21</v>
      </c>
      <c r="C2080" s="23">
        <v>26</v>
      </c>
      <c r="D2080" s="224"/>
      <c r="E2080" s="224"/>
      <c r="F2080" s="224"/>
      <c r="G2080" s="224"/>
      <c r="H2080" s="224"/>
      <c r="I2080" s="224">
        <v>5000</v>
      </c>
      <c r="J2080" s="224"/>
      <c r="K2080" s="224"/>
    </row>
    <row r="2081" spans="1:11">
      <c r="A2081" s="23" t="s">
        <v>173</v>
      </c>
      <c r="B2081" s="23">
        <v>21</v>
      </c>
      <c r="C2081" s="23">
        <v>27</v>
      </c>
      <c r="D2081" s="224"/>
      <c r="E2081" s="224">
        <v>77226</v>
      </c>
      <c r="F2081" s="224">
        <v>34454</v>
      </c>
      <c r="G2081" s="224">
        <v>52382</v>
      </c>
      <c r="H2081" s="224">
        <v>800</v>
      </c>
      <c r="I2081" s="224">
        <v>55000</v>
      </c>
      <c r="J2081" s="224"/>
      <c r="K2081" s="224"/>
    </row>
    <row r="2082" spans="1:11">
      <c r="A2082" s="23" t="s">
        <v>173</v>
      </c>
      <c r="B2082" s="23">
        <v>21</v>
      </c>
      <c r="C2082" s="23">
        <v>32</v>
      </c>
      <c r="D2082" s="224"/>
      <c r="E2082" s="224"/>
      <c r="F2082" s="224"/>
      <c r="G2082" s="224"/>
      <c r="H2082" s="224"/>
      <c r="I2082" s="224">
        <v>1500</v>
      </c>
      <c r="J2082" s="224"/>
      <c r="K2082" s="224"/>
    </row>
    <row r="2083" spans="1:11">
      <c r="A2083" s="23" t="s">
        <v>173</v>
      </c>
      <c r="B2083" s="23">
        <v>21</v>
      </c>
      <c r="C2083" s="23">
        <v>34</v>
      </c>
      <c r="D2083" s="224"/>
      <c r="E2083" s="224">
        <v>1287</v>
      </c>
      <c r="F2083" s="224"/>
      <c r="G2083" s="224">
        <v>301</v>
      </c>
      <c r="H2083" s="224"/>
      <c r="I2083" s="224"/>
      <c r="J2083" s="224"/>
      <c r="K2083" s="224"/>
    </row>
    <row r="2084" spans="1:11">
      <c r="A2084" s="23" t="s">
        <v>173</v>
      </c>
      <c r="B2084" s="23">
        <v>24</v>
      </c>
      <c r="C2084" s="23">
        <v>26</v>
      </c>
      <c r="D2084" s="224"/>
      <c r="E2084" s="224"/>
      <c r="F2084" s="224"/>
      <c r="G2084" s="224"/>
      <c r="H2084" s="224"/>
      <c r="I2084" s="224">
        <v>33730</v>
      </c>
      <c r="J2084" s="224"/>
      <c r="K2084" s="224"/>
    </row>
    <row r="2085" spans="1:11">
      <c r="A2085" s="23" t="s">
        <v>173</v>
      </c>
      <c r="B2085" s="23">
        <v>24</v>
      </c>
      <c r="C2085" s="23">
        <v>27</v>
      </c>
      <c r="D2085" s="224"/>
      <c r="E2085" s="224"/>
      <c r="F2085" s="224"/>
      <c r="G2085" s="224"/>
      <c r="H2085" s="224">
        <v>3064</v>
      </c>
      <c r="I2085" s="224"/>
      <c r="J2085" s="224"/>
      <c r="K2085" s="224"/>
    </row>
    <row r="2086" spans="1:11">
      <c r="A2086" s="23" t="s">
        <v>175</v>
      </c>
      <c r="B2086" s="23">
        <v>21</v>
      </c>
      <c r="C2086" s="23">
        <v>29</v>
      </c>
      <c r="D2086" s="224"/>
      <c r="E2086" s="224"/>
      <c r="F2086" s="224"/>
      <c r="G2086" s="224"/>
      <c r="H2086" s="224"/>
      <c r="I2086" s="224">
        <v>80957</v>
      </c>
      <c r="J2086" s="224"/>
      <c r="K2086" s="224"/>
    </row>
    <row r="2087" spans="1:11">
      <c r="A2087" s="23" t="s">
        <v>177</v>
      </c>
      <c r="B2087" s="23">
        <v>21</v>
      </c>
      <c r="C2087" s="23">
        <v>21</v>
      </c>
      <c r="D2087" s="224"/>
      <c r="E2087" s="224">
        <v>128800</v>
      </c>
      <c r="F2087" s="224">
        <v>83367</v>
      </c>
      <c r="G2087" s="224">
        <v>75264</v>
      </c>
      <c r="H2087" s="224">
        <v>5000</v>
      </c>
      <c r="I2087" s="224">
        <v>11000</v>
      </c>
      <c r="J2087" s="224">
        <v>6000</v>
      </c>
      <c r="K2087" s="224"/>
    </row>
    <row r="2088" spans="1:11">
      <c r="A2088" s="23" t="s">
        <v>177</v>
      </c>
      <c r="B2088" s="23">
        <v>21</v>
      </c>
      <c r="C2088" s="23">
        <v>26</v>
      </c>
      <c r="D2088" s="224"/>
      <c r="E2088" s="224">
        <v>727461</v>
      </c>
      <c r="F2088" s="224"/>
      <c r="G2088" s="224">
        <v>276105</v>
      </c>
      <c r="H2088" s="224">
        <v>6970</v>
      </c>
      <c r="I2088" s="224">
        <v>62750</v>
      </c>
      <c r="J2088" s="224">
        <v>2200</v>
      </c>
      <c r="K2088" s="224"/>
    </row>
    <row r="2089" spans="1:11">
      <c r="A2089" s="23" t="s">
        <v>177</v>
      </c>
      <c r="B2089" s="23">
        <v>21</v>
      </c>
      <c r="C2089" s="23">
        <v>27</v>
      </c>
      <c r="D2089" s="224">
        <v>1000</v>
      </c>
      <c r="E2089" s="224">
        <v>924695</v>
      </c>
      <c r="F2089" s="224">
        <v>1462756</v>
      </c>
      <c r="G2089" s="224">
        <v>1330293</v>
      </c>
      <c r="H2089" s="224">
        <v>37920</v>
      </c>
      <c r="I2089" s="224">
        <v>553500</v>
      </c>
      <c r="J2089" s="224">
        <v>1000</v>
      </c>
      <c r="K2089" s="224"/>
    </row>
    <row r="2090" spans="1:11">
      <c r="A2090" s="23" t="s">
        <v>177</v>
      </c>
      <c r="B2090" s="23">
        <v>21</v>
      </c>
      <c r="C2090" s="23">
        <v>29</v>
      </c>
      <c r="D2090" s="224"/>
      <c r="E2090" s="224"/>
      <c r="F2090" s="224"/>
      <c r="G2090" s="224"/>
      <c r="H2090" s="224"/>
      <c r="I2090" s="224">
        <v>15000</v>
      </c>
      <c r="J2090" s="224"/>
      <c r="K2090" s="224"/>
    </row>
    <row r="2091" spans="1:11">
      <c r="A2091" s="23" t="s">
        <v>177</v>
      </c>
      <c r="B2091" s="23">
        <v>21</v>
      </c>
      <c r="C2091" s="23">
        <v>31</v>
      </c>
      <c r="D2091" s="224"/>
      <c r="E2091" s="224"/>
      <c r="F2091" s="224">
        <v>4800</v>
      </c>
      <c r="G2091" s="224">
        <v>959</v>
      </c>
      <c r="H2091" s="224"/>
      <c r="I2091" s="224">
        <v>5000</v>
      </c>
      <c r="J2091" s="224"/>
      <c r="K2091" s="224"/>
    </row>
    <row r="2092" spans="1:11">
      <c r="A2092" s="23" t="s">
        <v>177</v>
      </c>
      <c r="B2092" s="23">
        <v>21</v>
      </c>
      <c r="C2092" s="23">
        <v>32</v>
      </c>
      <c r="D2092" s="224"/>
      <c r="E2092" s="224"/>
      <c r="F2092" s="224"/>
      <c r="G2092" s="224"/>
      <c r="H2092" s="224">
        <v>5000</v>
      </c>
      <c r="I2092" s="224"/>
      <c r="J2092" s="224"/>
      <c r="K2092" s="224"/>
    </row>
    <row r="2093" spans="1:11">
      <c r="A2093" s="23" t="s">
        <v>177</v>
      </c>
      <c r="B2093" s="23">
        <v>21</v>
      </c>
      <c r="C2093" s="23">
        <v>33</v>
      </c>
      <c r="D2093" s="224"/>
      <c r="E2093" s="224"/>
      <c r="F2093" s="224"/>
      <c r="G2093" s="224"/>
      <c r="H2093" s="224">
        <v>3000</v>
      </c>
      <c r="I2093" s="224">
        <v>20500</v>
      </c>
      <c r="J2093" s="224"/>
      <c r="K2093" s="224"/>
    </row>
    <row r="2094" spans="1:11">
      <c r="A2094" s="23" t="s">
        <v>177</v>
      </c>
      <c r="B2094" s="23">
        <v>21</v>
      </c>
      <c r="C2094" s="23">
        <v>34</v>
      </c>
      <c r="D2094" s="224"/>
      <c r="E2094" s="224">
        <v>28549</v>
      </c>
      <c r="F2094" s="224"/>
      <c r="G2094" s="224">
        <v>11698</v>
      </c>
      <c r="H2094" s="224"/>
      <c r="I2094" s="224"/>
      <c r="J2094" s="224"/>
      <c r="K2094" s="224"/>
    </row>
    <row r="2095" spans="1:11">
      <c r="A2095" s="23" t="s">
        <v>177</v>
      </c>
      <c r="B2095" s="23">
        <v>24</v>
      </c>
      <c r="C2095" s="23">
        <v>27</v>
      </c>
      <c r="D2095" s="224"/>
      <c r="E2095" s="224">
        <v>200423</v>
      </c>
      <c r="F2095" s="224">
        <v>88215</v>
      </c>
      <c r="G2095" s="224">
        <v>131961</v>
      </c>
      <c r="H2095" s="224"/>
      <c r="I2095" s="224"/>
      <c r="J2095" s="224"/>
      <c r="K2095" s="224"/>
    </row>
    <row r="2096" spans="1:11">
      <c r="A2096" s="23" t="s">
        <v>179</v>
      </c>
      <c r="B2096" s="23">
        <v>21</v>
      </c>
      <c r="C2096" s="23">
        <v>21</v>
      </c>
      <c r="D2096" s="224"/>
      <c r="E2096" s="224">
        <v>825352</v>
      </c>
      <c r="F2096" s="224">
        <v>342826</v>
      </c>
      <c r="G2096" s="224">
        <v>414791</v>
      </c>
      <c r="H2096" s="224">
        <v>15000</v>
      </c>
      <c r="I2096" s="224">
        <v>8000</v>
      </c>
      <c r="J2096" s="224">
        <v>3400</v>
      </c>
      <c r="K2096" s="224"/>
    </row>
    <row r="2097" spans="1:11">
      <c r="A2097" s="23" t="s">
        <v>179</v>
      </c>
      <c r="B2097" s="23">
        <v>21</v>
      </c>
      <c r="C2097" s="23">
        <v>22</v>
      </c>
      <c r="D2097" s="224"/>
      <c r="E2097" s="224"/>
      <c r="F2097" s="224">
        <v>71344</v>
      </c>
      <c r="G2097" s="224">
        <v>28400</v>
      </c>
      <c r="H2097" s="224"/>
      <c r="I2097" s="224"/>
      <c r="J2097" s="224"/>
      <c r="K2097" s="224"/>
    </row>
    <row r="2098" spans="1:11">
      <c r="A2098" s="23" t="s">
        <v>179</v>
      </c>
      <c r="B2098" s="23">
        <v>21</v>
      </c>
      <c r="C2098" s="23">
        <v>23</v>
      </c>
      <c r="D2098" s="224"/>
      <c r="E2098" s="224">
        <v>154187</v>
      </c>
      <c r="F2098" s="224">
        <v>72313</v>
      </c>
      <c r="G2098" s="224">
        <v>85078</v>
      </c>
      <c r="H2098" s="224">
        <v>3500</v>
      </c>
      <c r="I2098" s="224">
        <v>4000</v>
      </c>
      <c r="J2098" s="224">
        <v>3300</v>
      </c>
      <c r="K2098" s="224"/>
    </row>
    <row r="2099" spans="1:11">
      <c r="A2099" s="23" t="s">
        <v>179</v>
      </c>
      <c r="B2099" s="23">
        <v>21</v>
      </c>
      <c r="C2099" s="23">
        <v>26</v>
      </c>
      <c r="D2099" s="224"/>
      <c r="E2099" s="224">
        <v>4378127</v>
      </c>
      <c r="F2099" s="224">
        <v>400391</v>
      </c>
      <c r="G2099" s="224">
        <v>1789437</v>
      </c>
      <c r="H2099" s="224">
        <v>100000</v>
      </c>
      <c r="I2099" s="224">
        <v>297100</v>
      </c>
      <c r="J2099" s="224">
        <v>10000</v>
      </c>
      <c r="K2099" s="224"/>
    </row>
    <row r="2100" spans="1:11">
      <c r="A2100" s="23" t="s">
        <v>179</v>
      </c>
      <c r="B2100" s="23">
        <v>21</v>
      </c>
      <c r="C2100" s="23">
        <v>27</v>
      </c>
      <c r="D2100" s="224">
        <v>7000</v>
      </c>
      <c r="E2100" s="224">
        <v>8740215</v>
      </c>
      <c r="F2100" s="224">
        <v>8050697</v>
      </c>
      <c r="G2100" s="224">
        <v>7821898</v>
      </c>
      <c r="H2100" s="224">
        <v>132050</v>
      </c>
      <c r="I2100" s="224">
        <v>23900</v>
      </c>
      <c r="J2100" s="224">
        <v>15000</v>
      </c>
      <c r="K2100" s="224"/>
    </row>
    <row r="2101" spans="1:11">
      <c r="A2101" s="23" t="s">
        <v>179</v>
      </c>
      <c r="B2101" s="23">
        <v>21</v>
      </c>
      <c r="C2101" s="23">
        <v>31</v>
      </c>
      <c r="D2101" s="224"/>
      <c r="E2101" s="224">
        <v>195170</v>
      </c>
      <c r="F2101" s="224"/>
      <c r="G2101" s="224">
        <v>71738</v>
      </c>
      <c r="H2101" s="224">
        <v>1600</v>
      </c>
      <c r="I2101" s="224">
        <v>9400</v>
      </c>
      <c r="J2101" s="224">
        <v>2200</v>
      </c>
      <c r="K2101" s="224"/>
    </row>
    <row r="2102" spans="1:11">
      <c r="A2102" s="23" t="s">
        <v>179</v>
      </c>
      <c r="B2102" s="23">
        <v>21</v>
      </c>
      <c r="C2102" s="23">
        <v>33</v>
      </c>
      <c r="D2102" s="224"/>
      <c r="E2102" s="224"/>
      <c r="F2102" s="224"/>
      <c r="G2102" s="224"/>
      <c r="H2102" s="224">
        <v>70000</v>
      </c>
      <c r="I2102" s="224"/>
      <c r="J2102" s="224"/>
      <c r="K2102" s="224"/>
    </row>
    <row r="2103" spans="1:11">
      <c r="A2103" s="23" t="s">
        <v>179</v>
      </c>
      <c r="B2103" s="23">
        <v>21</v>
      </c>
      <c r="C2103" s="23">
        <v>34</v>
      </c>
      <c r="D2103" s="224"/>
      <c r="E2103" s="224">
        <v>220962</v>
      </c>
      <c r="F2103" s="224"/>
      <c r="G2103" s="224">
        <v>40004</v>
      </c>
      <c r="H2103" s="224"/>
      <c r="I2103" s="224"/>
      <c r="J2103" s="224"/>
      <c r="K2103" s="224"/>
    </row>
    <row r="2104" spans="1:11">
      <c r="A2104" s="23" t="s">
        <v>179</v>
      </c>
      <c r="B2104" s="23">
        <v>24</v>
      </c>
      <c r="C2104" s="23">
        <v>26</v>
      </c>
      <c r="D2104" s="224"/>
      <c r="E2104" s="224">
        <v>193579</v>
      </c>
      <c r="F2104" s="224"/>
      <c r="G2104" s="224">
        <v>75480</v>
      </c>
      <c r="H2104" s="224"/>
      <c r="I2104" s="224"/>
      <c r="J2104" s="224"/>
      <c r="K2104" s="224"/>
    </row>
    <row r="2105" spans="1:11">
      <c r="A2105" s="23" t="s">
        <v>179</v>
      </c>
      <c r="B2105" s="23">
        <v>24</v>
      </c>
      <c r="C2105" s="23">
        <v>27</v>
      </c>
      <c r="D2105" s="224"/>
      <c r="E2105" s="224">
        <v>1273554</v>
      </c>
      <c r="F2105" s="224">
        <v>879909</v>
      </c>
      <c r="G2105" s="224">
        <v>972995</v>
      </c>
      <c r="H2105" s="224">
        <v>18670</v>
      </c>
      <c r="I2105" s="224"/>
      <c r="J2105" s="224"/>
      <c r="K2105" s="224"/>
    </row>
    <row r="2106" spans="1:11">
      <c r="A2106" s="23" t="s">
        <v>181</v>
      </c>
      <c r="B2106" s="23">
        <v>21</v>
      </c>
      <c r="C2106" s="23">
        <v>21</v>
      </c>
      <c r="D2106" s="224"/>
      <c r="E2106" s="224">
        <v>447640</v>
      </c>
      <c r="F2106" s="224">
        <v>89892</v>
      </c>
      <c r="G2106" s="224">
        <v>183464</v>
      </c>
      <c r="H2106" s="224">
        <v>5000</v>
      </c>
      <c r="I2106" s="224">
        <v>19000</v>
      </c>
      <c r="J2106" s="224">
        <v>5000</v>
      </c>
      <c r="K2106" s="224"/>
    </row>
    <row r="2107" spans="1:11">
      <c r="A2107" s="23" t="s">
        <v>181</v>
      </c>
      <c r="B2107" s="23">
        <v>21</v>
      </c>
      <c r="C2107" s="23">
        <v>25</v>
      </c>
      <c r="D2107" s="224"/>
      <c r="E2107" s="224"/>
      <c r="F2107" s="224">
        <v>132063</v>
      </c>
      <c r="G2107" s="224">
        <v>99503</v>
      </c>
      <c r="H2107" s="224"/>
      <c r="I2107" s="224"/>
      <c r="J2107" s="224"/>
      <c r="K2107" s="224"/>
    </row>
    <row r="2108" spans="1:11">
      <c r="A2108" s="23" t="s">
        <v>181</v>
      </c>
      <c r="B2108" s="23">
        <v>21</v>
      </c>
      <c r="C2108" s="23">
        <v>26</v>
      </c>
      <c r="D2108" s="224"/>
      <c r="E2108" s="224">
        <v>1387723</v>
      </c>
      <c r="F2108" s="224">
        <v>203251</v>
      </c>
      <c r="G2108" s="224">
        <v>642271</v>
      </c>
      <c r="H2108" s="224">
        <v>12000</v>
      </c>
      <c r="I2108" s="224"/>
      <c r="J2108" s="224">
        <v>3000</v>
      </c>
      <c r="K2108" s="224"/>
    </row>
    <row r="2109" spans="1:11">
      <c r="A2109" s="23" t="s">
        <v>181</v>
      </c>
      <c r="B2109" s="23">
        <v>21</v>
      </c>
      <c r="C2109" s="23">
        <v>27</v>
      </c>
      <c r="D2109" s="224">
        <v>3000</v>
      </c>
      <c r="E2109" s="224">
        <v>2603029</v>
      </c>
      <c r="F2109" s="224">
        <v>2856564</v>
      </c>
      <c r="G2109" s="224">
        <v>2749203</v>
      </c>
      <c r="H2109" s="224">
        <v>59000</v>
      </c>
      <c r="I2109" s="224">
        <v>885500</v>
      </c>
      <c r="J2109" s="224">
        <v>7000</v>
      </c>
      <c r="K2109" s="224"/>
    </row>
    <row r="2110" spans="1:11">
      <c r="A2110" s="23" t="s">
        <v>181</v>
      </c>
      <c r="B2110" s="23">
        <v>21</v>
      </c>
      <c r="C2110" s="23">
        <v>31</v>
      </c>
      <c r="D2110" s="224"/>
      <c r="E2110" s="224">
        <v>8748</v>
      </c>
      <c r="F2110" s="224"/>
      <c r="G2110" s="224">
        <v>2081</v>
      </c>
      <c r="H2110" s="224">
        <v>2000</v>
      </c>
      <c r="I2110" s="224">
        <v>6000</v>
      </c>
      <c r="J2110" s="224">
        <v>7000</v>
      </c>
      <c r="K2110" s="224"/>
    </row>
    <row r="2111" spans="1:11">
      <c r="A2111" s="23" t="s">
        <v>181</v>
      </c>
      <c r="B2111" s="23">
        <v>21</v>
      </c>
      <c r="C2111" s="23">
        <v>32</v>
      </c>
      <c r="D2111" s="224"/>
      <c r="E2111" s="224"/>
      <c r="F2111" s="224"/>
      <c r="G2111" s="224"/>
      <c r="H2111" s="224">
        <v>25000</v>
      </c>
      <c r="I2111" s="224">
        <v>500</v>
      </c>
      <c r="J2111" s="224"/>
      <c r="K2111" s="224"/>
    </row>
    <row r="2112" spans="1:11">
      <c r="A2112" s="23" t="s">
        <v>181</v>
      </c>
      <c r="B2112" s="23">
        <v>21</v>
      </c>
      <c r="C2112" s="23">
        <v>33</v>
      </c>
      <c r="D2112" s="224"/>
      <c r="E2112" s="224"/>
      <c r="F2112" s="224"/>
      <c r="G2112" s="224"/>
      <c r="H2112" s="224">
        <v>12000</v>
      </c>
      <c r="I2112" s="224"/>
      <c r="J2112" s="224"/>
      <c r="K2112" s="224"/>
    </row>
    <row r="2113" spans="1:11">
      <c r="A2113" s="23" t="s">
        <v>181</v>
      </c>
      <c r="B2113" s="23">
        <v>24</v>
      </c>
      <c r="C2113" s="23">
        <v>27</v>
      </c>
      <c r="D2113" s="224"/>
      <c r="E2113" s="224">
        <v>654489</v>
      </c>
      <c r="F2113" s="224"/>
      <c r="G2113" s="224">
        <v>257755</v>
      </c>
      <c r="H2113" s="224"/>
      <c r="I2113" s="224">
        <v>270883</v>
      </c>
      <c r="J2113" s="224"/>
      <c r="K2113" s="224"/>
    </row>
    <row r="2114" spans="1:11">
      <c r="A2114" s="23" t="s">
        <v>407</v>
      </c>
      <c r="B2114" s="23">
        <v>21</v>
      </c>
      <c r="C2114" s="23">
        <v>21</v>
      </c>
      <c r="D2114" s="224"/>
      <c r="E2114" s="224">
        <v>55716</v>
      </c>
      <c r="F2114" s="224"/>
      <c r="G2114" s="224">
        <v>16179</v>
      </c>
      <c r="H2114" s="224"/>
      <c r="I2114" s="224">
        <v>5000</v>
      </c>
      <c r="J2114" s="224"/>
      <c r="K2114" s="224"/>
    </row>
    <row r="2115" spans="1:11">
      <c r="A2115" s="23" t="s">
        <v>407</v>
      </c>
      <c r="B2115" s="23">
        <v>21</v>
      </c>
      <c r="C2115" s="23">
        <v>26</v>
      </c>
      <c r="D2115" s="224"/>
      <c r="E2115" s="224">
        <v>109660</v>
      </c>
      <c r="F2115" s="224"/>
      <c r="G2115" s="224">
        <v>38351</v>
      </c>
      <c r="H2115" s="224"/>
      <c r="I2115" s="224"/>
      <c r="J2115" s="224"/>
      <c r="K2115" s="224"/>
    </row>
    <row r="2116" spans="1:11">
      <c r="A2116" s="23" t="s">
        <v>407</v>
      </c>
      <c r="B2116" s="23">
        <v>21</v>
      </c>
      <c r="C2116" s="23">
        <v>27</v>
      </c>
      <c r="D2116" s="224"/>
      <c r="E2116" s="224">
        <v>447953</v>
      </c>
      <c r="F2116" s="224">
        <v>379463</v>
      </c>
      <c r="G2116" s="224">
        <v>399171</v>
      </c>
      <c r="H2116" s="224">
        <v>40000</v>
      </c>
      <c r="I2116" s="224">
        <v>20000</v>
      </c>
      <c r="J2116" s="224">
        <v>2000</v>
      </c>
      <c r="K2116" s="224"/>
    </row>
    <row r="2117" spans="1:11">
      <c r="A2117" s="23" t="s">
        <v>407</v>
      </c>
      <c r="B2117" s="23">
        <v>21</v>
      </c>
      <c r="C2117" s="23">
        <v>31</v>
      </c>
      <c r="D2117" s="224"/>
      <c r="E2117" s="224"/>
      <c r="F2117" s="224"/>
      <c r="G2117" s="224"/>
      <c r="H2117" s="224"/>
      <c r="I2117" s="224">
        <v>5000</v>
      </c>
      <c r="J2117" s="224"/>
      <c r="K2117" s="224"/>
    </row>
    <row r="2118" spans="1:11">
      <c r="A2118" s="23" t="s">
        <v>407</v>
      </c>
      <c r="B2118" s="23">
        <v>24</v>
      </c>
      <c r="C2118" s="23">
        <v>26</v>
      </c>
      <c r="D2118" s="224"/>
      <c r="E2118" s="224">
        <v>69533</v>
      </c>
      <c r="F2118" s="224"/>
      <c r="G2118" s="224">
        <v>28310</v>
      </c>
      <c r="H2118" s="224"/>
      <c r="I2118" s="224"/>
      <c r="J2118" s="224"/>
      <c r="K2118" s="224"/>
    </row>
    <row r="2119" spans="1:11">
      <c r="A2119" s="23" t="s">
        <v>407</v>
      </c>
      <c r="B2119" s="23">
        <v>24</v>
      </c>
      <c r="C2119" s="23">
        <v>27</v>
      </c>
      <c r="D2119" s="224"/>
      <c r="E2119" s="224">
        <v>88794</v>
      </c>
      <c r="F2119" s="224">
        <v>31443</v>
      </c>
      <c r="G2119" s="224">
        <v>56977</v>
      </c>
      <c r="H2119" s="224"/>
      <c r="I2119" s="224"/>
      <c r="J2119" s="224"/>
      <c r="K2119" s="2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619EE4-8BFD-4003-A376-DF7326117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3F322D9-FF95-4831-A4CD-9E5627D6F9E5}">
  <ds:schemaRefs>
    <ds:schemaRef ds:uri="http://schemas.microsoft.com/sharepoint/v3/contenttype/forms"/>
  </ds:schemaRefs>
</ds:datastoreItem>
</file>

<file path=customXml/itemProps3.xml><?xml version="1.0" encoding="utf-8"?>
<ds:datastoreItem xmlns:ds="http://schemas.openxmlformats.org/officeDocument/2006/customXml" ds:itemID="{440D9D9B-BC65-46D0-A93D-802BFD91A36C}">
  <ds:schemaRefs>
    <ds:schemaRef ds:uri="http://schemas.microsoft.com/office/infopath/2007/PartnerControl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Copyright</vt:lpstr>
      <vt:lpstr>LEA List</vt:lpstr>
      <vt:lpstr>2022-23 Worksheet A</vt:lpstr>
      <vt:lpstr>2022-23 Budget Reconciliation</vt:lpstr>
      <vt:lpstr>Indirects</vt:lpstr>
      <vt:lpstr>21-22 Safety Net Awards</vt:lpstr>
      <vt:lpstr>21-22 F-196 Expenditures</vt:lpstr>
      <vt:lpstr>21-22 F-196 Revenues</vt:lpstr>
      <vt:lpstr>22-23 F195 ExpendPivot</vt:lpstr>
      <vt:lpstr>22-23 F195 ExpendDetail</vt:lpstr>
      <vt:lpstr>22-23 F195 Expenditures</vt:lpstr>
      <vt:lpstr>22-23 F195 Revenues</vt:lpstr>
      <vt:lpstr>21-22 FP 149 Allocations</vt:lpstr>
      <vt:lpstr>21-22 CCEIS Set Aside</vt:lpstr>
      <vt:lpstr>22-23 CCEIS Set Aside</vt:lpstr>
      <vt:lpstr>22-23 Supplemental Contracts</vt:lpstr>
      <vt:lpstr>22-23 Enrollment</vt:lpstr>
      <vt:lpstr>22-23 Allocations</vt:lpstr>
      <vt:lpstr>267 - 21-22 carryover to 22-23</vt:lpstr>
      <vt:lpstr>149 - 21-22 carryover to 22-23</vt:lpstr>
      <vt:lpstr>21-22 Supplemental Contracts</vt:lpstr>
      <vt:lpstr>21-22 Enrollement</vt:lpstr>
      <vt:lpstr>21-22 Allocations</vt:lpstr>
      <vt:lpstr>2020-21 Carryover for 2021-22</vt:lpstr>
      <vt:lpstr>'2022-23 Worksheet 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A</dc:title>
  <dc:subject>Potential Safety Net Capacity</dc:subject>
  <dc:creator>OSPI, Special Education</dc:creator>
  <cp:keywords>Safety Net, Worksheet A</cp:keywords>
  <cp:lastModifiedBy>Amber O’Donnell</cp:lastModifiedBy>
  <cp:lastPrinted>2022-10-27T19:07:01Z</cp:lastPrinted>
  <dcterms:created xsi:type="dcterms:W3CDTF">1998-10-05T21:32:02Z</dcterms:created>
  <dcterms:modified xsi:type="dcterms:W3CDTF">2023-01-17T20:47:15Z</dcterms:modified>
</cp:coreProperties>
</file>